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mc:AlternateContent xmlns:mc="http://schemas.openxmlformats.org/markup-compatibility/2006">
    <mc:Choice Requires="x15">
      <x15ac:absPath xmlns:x15ac="http://schemas.microsoft.com/office/spreadsheetml/2010/11/ac" url="C:\Temp\"/>
    </mc:Choice>
  </mc:AlternateContent>
  <bookViews>
    <workbookView xWindow="-195" yWindow="45" windowWidth="12120" windowHeight="6225"/>
  </bookViews>
  <sheets>
    <sheet name="pb7" sheetId="9" r:id="rId1"/>
  </sheets>
  <definedNames>
    <definedName name="bb">'pb7'!$X$14</definedName>
    <definedName name="bbb">'pb7'!$X$14</definedName>
    <definedName name="Bioavailability" localSheetId="0">'pb7'!$C$29</definedName>
    <definedName name="Bioavailability">#REF!</definedName>
    <definedName name="Blood.lead.level.of.concern">'pb7'!$C$21</definedName>
    <definedName name="Blood_lead_level_of_concern" localSheetId="0">'pb7'!$C$21</definedName>
    <definedName name="Blood_lead_level_of_concern">#REF!</definedName>
    <definedName name="Breathing_rate" localSheetId="0">'pb7'!$C$30</definedName>
    <definedName name="Breathing_rate">#REF!</definedName>
    <definedName name="Breathing_rate_adult">#REF!</definedName>
    <definedName name="Days_per_week" localSheetId="0">'pb7'!$C$18</definedName>
    <definedName name="Days_per_week">#REF!</definedName>
    <definedName name="Days_per_week__occupational" localSheetId="0">'pb7'!#REF!</definedName>
    <definedName name="Days_per_week__occupational">#REF!</definedName>
    <definedName name="days_per_week_occupational">#REF!</definedName>
    <definedName name="days_per_week_residential">#REF!</definedName>
    <definedName name="Dermal_uptake_constant" localSheetId="0">'pb7'!$C$25</definedName>
    <definedName name="Dermal_uptake_constant">#REF!</definedName>
    <definedName name="food_ing_adu">'pb7'!$J$26</definedName>
    <definedName name="food_ing_adu_bkgrnd">'pb7'!$J$25</definedName>
    <definedName name="food_ing_child_bkgrnd">'pb7'!$J$36</definedName>
    <definedName name="Food_ingestion" localSheetId="0">'pb7'!$C$33</definedName>
    <definedName name="Food_ingestion">#REF!</definedName>
    <definedName name="food_ingestion.adu">'pb7'!$J$26</definedName>
    <definedName name="Food_ingestion_a">'pb7'!$C$33</definedName>
    <definedName name="Food_ingestion_adult">#REF!</definedName>
    <definedName name="food_ingestion_child">'pb7'!$J$37</definedName>
    <definedName name="food_ingestion_child_bkgrnd">'pb7'!$J$36</definedName>
    <definedName name="food_ingestion_ocup">'pb7'!$M$25</definedName>
    <definedName name="FOOD_INGESTION1">'pb7'!$J$25</definedName>
    <definedName name="Geometric_Standard_Deviation" localSheetId="0">'pb7'!$C$20</definedName>
    <definedName name="Geometric_Standard_Deviation">#REF!</definedName>
    <definedName name="GSD">#REF!</definedName>
    <definedName name="_GSD1" localSheetId="0">'pb7'!$C$20</definedName>
    <definedName name="_GSD1">#REF!</definedName>
    <definedName name="_GSD2" localSheetId="0">'pb7'!$D$20</definedName>
    <definedName name="_GSD2">#REF!</definedName>
    <definedName name="_GSD3" localSheetId="0">'pb7'!#REF!</definedName>
    <definedName name="_GSD3">#REF!</definedName>
    <definedName name="_GSD4" localSheetId="0">'pb7'!$G$20</definedName>
    <definedName name="_GSD4">#REF!</definedName>
    <definedName name="Home_grown_produce" localSheetId="0">'pb7'!#REF!</definedName>
    <definedName name="Home_grown_produce">#REF!</definedName>
    <definedName name="Home_grown_produce__occupational" localSheetId="0">'pb7'!#REF!</definedName>
    <definedName name="Home_grown_produce__occupational">#REF!</definedName>
    <definedName name="Home_grown_produce_adult">#REF!</definedName>
    <definedName name="Home_grown_produce_occupational">#REF!</definedName>
    <definedName name="Ingestion_constant" localSheetId="0">'pb7'!$C$28</definedName>
    <definedName name="Ingestion_constant">#REF!</definedName>
    <definedName name="Ingestion_constant_adult">#REF!</definedName>
    <definedName name="inhal_adult">'pb7'!$J$23</definedName>
    <definedName name="inhal_bkgrnd_adlt">'pb7'!$J$22</definedName>
    <definedName name="INHALATION">'pb7'!$J$23</definedName>
    <definedName name="inhalation_bkgrnd_adlt">'pb7'!$J$22</definedName>
    <definedName name="inhalation_child">'pb7'!$J$33</definedName>
    <definedName name="inhalation_child_bkgrnd">'pb7'!$J$34</definedName>
    <definedName name="Inhalation_constant" localSheetId="0">'pb7'!$C$31</definedName>
    <definedName name="Inhalation_constant">#REF!</definedName>
    <definedName name="Inhalation_constant_adult">#REF!</definedName>
    <definedName name="INHALATION1">'pb7'!$J$22</definedName>
    <definedName name="LEAD_IN_AIR" localSheetId="0">'pb7'!$B$9</definedName>
    <definedName name="LEAD_IN_AIR">#REF!</definedName>
    <definedName name="Lead_in_market_basket" localSheetId="0">'pb7'!$C$34</definedName>
    <definedName name="Lead_in_market_basket">#REF!</definedName>
    <definedName name="Lead_in_produce" localSheetId="0">'pb7'!$C$35</definedName>
    <definedName name="Lead_in_produce">#REF!</definedName>
    <definedName name="LEAD_IN_SOIL_DUST" localSheetId="0">'pb7'!$B$10</definedName>
    <definedName name="LEAD_IN_SOIL_DUST">#REF!</definedName>
    <definedName name="Lead_in_total_diet" localSheetId="0">'pb7'!#REF!</definedName>
    <definedName name="Lead_in_total_diet">#REF!</definedName>
    <definedName name="Lead_in_total_diet_adult">#REF!</definedName>
    <definedName name="LEAD_IN_WATER" localSheetId="0">'pb7'!$B$11</definedName>
    <definedName name="LEAD_IN_WATER">#REF!</definedName>
    <definedName name="PEFfia">'pb7'!$I$26</definedName>
    <definedName name="PEFfic">'pb7'!$I$37</definedName>
    <definedName name="PEFia">'pb7'!$I$23</definedName>
    <definedName name="PEFic">'pb7'!$I$33</definedName>
    <definedName name="PEFio">'pb7'!$L$23</definedName>
    <definedName name="PEFsca">'pb7'!$I$20</definedName>
    <definedName name="PEFscc">'pb7'!$I$31</definedName>
    <definedName name="PEFsco">'pb7'!$L$20</definedName>
    <definedName name="PEFsia">'pb7'!$I$21</definedName>
    <definedName name="PEFsic">'pb7'!$I$32</definedName>
    <definedName name="PEFsio">'pb7'!$L$21</definedName>
    <definedName name="PEFsip">'pb7'!$L$32</definedName>
    <definedName name="percent_home_grown" localSheetId="0">'pb7'!$B$12</definedName>
    <definedName name="percent_home_grown">#REF!</definedName>
    <definedName name="_xlnm.Print_Area" localSheetId="0">'pb7'!$A$1:$N$37</definedName>
    <definedName name="Print_Area_MI" localSheetId="0">'pb7'!$A$1:$S$38</definedName>
    <definedName name="Print_Area_MI">#REF!</definedName>
    <definedName name="RESPIRABLE_DUST" localSheetId="0">'pb7'!$B$13</definedName>
    <definedName name="RESPIRABLE_DUST">#REF!</definedName>
    <definedName name="Route_specific_constant">#REF!</definedName>
    <definedName name="Skin_area__residential" localSheetId="0">'pb7'!$C$22</definedName>
    <definedName name="Skin_area__residential">#REF!</definedName>
    <definedName name="Skin_area_adult">#REF!</definedName>
    <definedName name="Skin_area_child" localSheetId="0">'pb7'!$D$22</definedName>
    <definedName name="Skin_area_child">#REF!</definedName>
    <definedName name="Skin_area_ocupational" localSheetId="0">'pb7'!$C$23</definedName>
    <definedName name="Skin_area_ocupational">#REF!</definedName>
    <definedName name="Soil_adherence" localSheetId="0">'pb7'!$C$24</definedName>
    <definedName name="Soil_adherence">#REF!</definedName>
    <definedName name="Soil_adherence_adult">#REF!</definedName>
    <definedName name="SOIL_CONTACT">'pb7'!$J$20</definedName>
    <definedName name="soil_contact_child">'pb7'!$J$31</definedName>
    <definedName name="soil_ing_adu">'pb7'!$J$21</definedName>
    <definedName name="Soil_ingestion" localSheetId="0">'pb7'!$C$26</definedName>
    <definedName name="Soil_ingestion">#REF!</definedName>
    <definedName name="Soil_ingestion_a">'pb7'!$C$26</definedName>
    <definedName name="Soil_ingestion_adults">#REF!</definedName>
    <definedName name="soil_ingestion_child">'pb7'!$J$32</definedName>
    <definedName name="soil_ingestion_pica" localSheetId="0">'pb7'!$M$32</definedName>
    <definedName name="soil_ingestion_pica">#REF!</definedName>
    <definedName name="solver_opt" localSheetId="0" hidden="1">'pb7'!$L$11</definedName>
    <definedName name="water_ing_adu">'pb7'!$J$24</definedName>
    <definedName name="Water_ingestion" localSheetId="0">'pb7'!$C$32</definedName>
    <definedName name="Water_ingestion">#REF!</definedName>
    <definedName name="Water_ingestion_a">'pb7'!$C$32</definedName>
    <definedName name="Water_ingestion_adult">#REF!</definedName>
    <definedName name="water_ingestion_child">'pb7'!$J$35</definedName>
    <definedName name="workdays_per_week">'pb7'!$C$19</definedName>
  </definedNames>
  <calcPr calcId="171027"/>
</workbook>
</file>

<file path=xl/calcChain.xml><?xml version="1.0" encoding="utf-8"?>
<calcChain xmlns="http://schemas.openxmlformats.org/spreadsheetml/2006/main">
  <c r="C28" i="9" l="1"/>
  <c r="C25" i="9" s="1"/>
  <c r="D31" i="9"/>
  <c r="J34" i="9"/>
  <c r="C31" i="9"/>
  <c r="L23" i="9" s="1"/>
  <c r="M23" i="9" s="1"/>
  <c r="I33" i="9"/>
  <c r="J24" i="9"/>
  <c r="M25" i="9"/>
  <c r="L21" i="9"/>
  <c r="M21" i="9" s="1"/>
  <c r="D28" i="9"/>
  <c r="J36" i="9" s="1"/>
  <c r="J33" i="9"/>
  <c r="M33" i="9" s="1"/>
  <c r="J25" i="9"/>
  <c r="I26" i="9"/>
  <c r="I21" i="9"/>
  <c r="M24" i="9"/>
  <c r="C35" i="9"/>
  <c r="J21" i="9"/>
  <c r="J26" i="9"/>
  <c r="M36" i="9" l="1"/>
  <c r="I31" i="9"/>
  <c r="J31" i="9" s="1"/>
  <c r="I20" i="9"/>
  <c r="L20" i="9"/>
  <c r="M20" i="9" s="1"/>
  <c r="M22" i="9"/>
  <c r="J22" i="9"/>
  <c r="I32" i="9"/>
  <c r="J32" i="9" s="1"/>
  <c r="L32" i="9"/>
  <c r="M32" i="9" s="1"/>
  <c r="I23" i="9"/>
  <c r="J23" i="9" s="1"/>
  <c r="I37" i="9"/>
  <c r="J37" i="9" s="1"/>
  <c r="J35" i="9"/>
  <c r="M34" i="9"/>
  <c r="H11" i="9" l="1"/>
  <c r="M31" i="9"/>
  <c r="K31" i="9"/>
  <c r="M11" i="9"/>
  <c r="M35" i="9"/>
  <c r="K35" i="9"/>
  <c r="N10" i="9"/>
  <c r="M10" i="9"/>
  <c r="N11" i="9"/>
  <c r="K37" i="9"/>
  <c r="M37" i="9"/>
  <c r="N13" i="9"/>
  <c r="N22" i="9"/>
  <c r="M13" i="9"/>
  <c r="M12" i="9"/>
  <c r="H13" i="9"/>
  <c r="N20" i="9"/>
  <c r="K32" i="9"/>
  <c r="N12" i="9"/>
  <c r="H10" i="9"/>
  <c r="J20" i="9"/>
  <c r="K20" i="9" l="1"/>
  <c r="K10" i="9"/>
  <c r="L10" i="9"/>
  <c r="K26" i="9"/>
  <c r="K25" i="9"/>
  <c r="I10" i="9"/>
  <c r="K21" i="9"/>
  <c r="K24" i="9"/>
  <c r="J10" i="9"/>
  <c r="I13" i="9"/>
  <c r="N25" i="9"/>
  <c r="N26" i="9"/>
  <c r="K13" i="9"/>
  <c r="L13" i="9"/>
  <c r="J13" i="9"/>
  <c r="N21" i="9"/>
  <c r="N24" i="9"/>
  <c r="N23" i="9"/>
  <c r="K23" i="9"/>
  <c r="K22" i="9"/>
  <c r="H12" i="9"/>
  <c r="J11" i="9"/>
  <c r="K11" i="9"/>
  <c r="I11" i="9"/>
  <c r="L11" i="9"/>
  <c r="K34" i="9"/>
  <c r="K33" i="9"/>
  <c r="K36" i="9"/>
  <c r="L12" i="9" l="1"/>
  <c r="K12" i="9"/>
  <c r="I12" i="9"/>
  <c r="J12" i="9"/>
  <c r="N33" i="9"/>
  <c r="N36" i="9"/>
  <c r="N32" i="9"/>
  <c r="N34" i="9"/>
  <c r="N31" i="9"/>
  <c r="N37" i="9"/>
  <c r="N35" i="9"/>
</calcChain>
</file>

<file path=xl/comments1.xml><?xml version="1.0" encoding="utf-8"?>
<comments xmlns="http://schemas.openxmlformats.org/spreadsheetml/2006/main">
  <authors>
    <author>Human and Ecological Risk Div</author>
  </authors>
  <commentList>
    <comment ref="A4" authorId="0" shapeId="0">
      <text>
        <r>
          <rPr>
            <b/>
            <sz val="8"/>
            <color indexed="81"/>
            <rFont val="Tahoma"/>
          </rPr>
          <t>Human and Ecological Risk Div:</t>
        </r>
        <r>
          <rPr>
            <sz val="8"/>
            <color indexed="81"/>
            <rFont val="Tahoma"/>
          </rPr>
          <t xml:space="preserve">
</t>
        </r>
        <r>
          <rPr>
            <b/>
            <sz val="8"/>
            <color indexed="81"/>
            <rFont val="Tahoma"/>
            <family val="2"/>
          </rPr>
          <t xml:space="preserve">*  </t>
        </r>
        <r>
          <rPr>
            <b/>
            <sz val="8"/>
            <color indexed="12"/>
            <rFont val="Tahoma"/>
            <family val="2"/>
          </rPr>
          <t>DTSC’s LeadSpread is currently under revision to ensure that the model is adequately protective of women of child-bearing age.  In the interim, HERD recommends using the 2004 U.S. EPA industrial PRG (800 mg/kg) to evaluate the industrial/commercial scenario and adult exposures to lead.</t>
        </r>
        <r>
          <rPr>
            <b/>
            <sz val="8"/>
            <color indexed="81"/>
            <rFont val="Tahoma"/>
            <family val="2"/>
          </rPr>
          <t xml:space="preserve">
*  </t>
        </r>
        <r>
          <rPr>
            <sz val="8"/>
            <color indexed="81"/>
            <rFont val="Tahoma"/>
          </rPr>
          <t xml:space="preserve">This version of the DTSC LEAD RISK ASSESSMENT SPREADSHEET (version 7, 1999) is written in Excel 97.  This version was modified in January 2009.  It is designed to be self-contained.  Site-related data are entered in cells B9 through B13.  Default values may be used when site-specific data are not available.  
</t>
        </r>
        <r>
          <rPr>
            <b/>
            <sz val="8"/>
            <color indexed="81"/>
            <rFont val="Tahoma"/>
            <family val="2"/>
          </rPr>
          <t>*</t>
        </r>
        <r>
          <rPr>
            <sz val="8"/>
            <color indexed="81"/>
            <rFont val="Tahoma"/>
          </rPr>
          <t xml:space="preserve">  Cells C18 through D35 contain exposure parameters which are generally not site-specific.  Departure from default values in cells C18 through D35 must be justified.  Numerical values in other cells are generally formulas, and although they may be changed for various purposes, any results obtained from the modified spreadsheet should not be represented as having come from the DTSC LEAD RISK ASSESSMENT SPREADSHEET.
</t>
        </r>
        <r>
          <rPr>
            <b/>
            <sz val="8"/>
            <color indexed="81"/>
            <rFont val="Tahoma"/>
            <family val="2"/>
          </rPr>
          <t xml:space="preserve">*  </t>
        </r>
        <r>
          <rPr>
            <sz val="8"/>
            <color indexed="81"/>
            <rFont val="Tahoma"/>
          </rPr>
          <t xml:space="preserve">Many cells contain notes which explain the cell contents when the cursor is moved over the cell. References are in a note attached to cell A37.  
Many default input values have been revised in this version of the DTSC LEAD RISK ASSESSMENT SPREADSHEET. but the basic equations are similar to version 6 with one exception:  The equations describing the plant uptake pathway now permit any value between 0 and 100% (inclusive) to be entered in cell B12.  However, this cell will usually contain a value of 0% or 7%, depending on the plausibility of gardening occurring at the site. 
</t>
        </r>
        <r>
          <rPr>
            <b/>
            <sz val="8"/>
            <color indexed="81"/>
            <rFont val="Tahoma"/>
            <family val="2"/>
          </rPr>
          <t xml:space="preserve">*  </t>
        </r>
        <r>
          <rPr>
            <sz val="8"/>
            <color indexed="81"/>
            <rFont val="Tahoma"/>
          </rPr>
          <t xml:space="preserve">Validation:  Using default levels in air, water and food, and 20 ppm in soil, the DTSC LEAD RISK ASSESSMENT SPREADSHEET predicts a median blood lead concentration in children of 1.8 ug/dl.  In comparison, an analysis of NHANES data (CDC, 1999) shows that children aged 1-6 years living in the Western United States in housing built since 1974 had a geometric mean blood lead concentration of 1.74 ug/dl (the corresponding value for 1-2 year-old children was 1.9 ug/dl).
</t>
        </r>
        <r>
          <rPr>
            <b/>
            <sz val="8"/>
            <color indexed="81"/>
            <rFont val="Tahoma"/>
            <family val="2"/>
          </rPr>
          <t xml:space="preserve">*  </t>
        </r>
        <r>
          <rPr>
            <sz val="8"/>
            <color indexed="81"/>
            <rFont val="Tahoma"/>
          </rPr>
          <t>The worksheet is protected with the exception of the input cells (B9-B13) to avoid inadvertent changes in formulas.  If you wish to alter exposure perameters or formulas you may use the unprotect feature of Excel to unprotect the sheet.  There is no password.  If the results will be submitted to DTSC, you will be required to identify and justify any changes other than to the input cells.</t>
        </r>
      </text>
    </comment>
    <comment ref="M8" authorId="0" shapeId="0">
      <text>
        <r>
          <rPr>
            <b/>
            <sz val="8"/>
            <color indexed="81"/>
            <rFont val="Tahoma"/>
          </rPr>
          <t>Human and Ecological Risk Div:</t>
        </r>
        <r>
          <rPr>
            <sz val="8"/>
            <color indexed="81"/>
            <rFont val="Tahoma"/>
          </rPr>
          <t xml:space="preserve">
Concentration in exterior soil and interior dust that will result in a 99th percentile estimate of blood lead equal to the value in cell c21 (default = 10 ug/dl).</t>
        </r>
      </text>
    </comment>
    <comment ref="N8" authorId="0" shapeId="0">
      <text>
        <r>
          <rPr>
            <b/>
            <sz val="8"/>
            <color indexed="81"/>
            <rFont val="Tahoma"/>
          </rPr>
          <t>Human and Ecological Risk Div:</t>
        </r>
        <r>
          <rPr>
            <sz val="8"/>
            <color indexed="81"/>
            <rFont val="Tahoma"/>
          </rPr>
          <t xml:space="preserve">
Concentration in exterior soil and interior dust that will result in a 95th percentile estimate of blood lead of equal to the value in cell c21 (default = 10 ug/dl).</t>
        </r>
      </text>
    </comment>
    <comment ref="B9" authorId="0" shapeId="0">
      <text>
        <r>
          <rPr>
            <b/>
            <sz val="8"/>
            <color indexed="81"/>
            <rFont val="Tahoma"/>
          </rPr>
          <t>Human and Ecological Risk Div:</t>
        </r>
        <r>
          <rPr>
            <sz val="8"/>
            <color indexed="81"/>
            <rFont val="Tahoma"/>
          </rPr>
          <t xml:space="preserve">
Ambient air Pb concentration data are available from the California Air Resources Board (CARB), Technical Support Division.  Data for the most recent year for the nearest monitoring station should be used.   If monitoring data collected within the same air basin are unavailable, a default value of 0.028 ug/m</t>
        </r>
        <r>
          <rPr>
            <vertAlign val="superscript"/>
            <sz val="8"/>
            <color indexed="81"/>
            <rFont val="Tahoma"/>
            <family val="2"/>
          </rPr>
          <t>3</t>
        </r>
        <r>
          <rPr>
            <sz val="8"/>
            <color indexed="81"/>
            <rFont val="Tahoma"/>
          </rPr>
          <t>,  may be used.  The latter is the highest monthly average for any California monitoring site, based on 1997 CARB monitoring data.</t>
        </r>
      </text>
    </comment>
    <comment ref="B10" authorId="0" shapeId="0">
      <text>
        <r>
          <rPr>
            <b/>
            <sz val="8"/>
            <color indexed="81"/>
            <rFont val="Tahoma"/>
          </rPr>
          <t>Human and Ecological Risk Div:</t>
        </r>
        <r>
          <rPr>
            <sz val="8"/>
            <color indexed="81"/>
            <rFont val="Tahoma"/>
          </rPr>
          <t xml:space="preserve">
User-supplied, measured value; usually the upper confidence limit on the mean value for the area or volume to be evaluated.  
Total Pb is generally used as the measure of Pb in various media, even though the disposition of Pb may differ according to its form.  Insufficient data are available to justify differential treatment of different forms of inorganic Pb.  However, if the lead at a particular site has been shown, in studies acceptable to DTSC, to be less bioavailable than the default value of 44%, a lower bioavailability factor may be substituted for the default factor in cell c29.  
Organic Pb is more readily absorbed through the skin and other membranes than inorganic Pb, and it must therefore be treated separately.  Since it is less stable in the environment, it is usually a minor source of exposure. </t>
        </r>
      </text>
    </comment>
    <comment ref="B11" authorId="0" shapeId="0">
      <text>
        <r>
          <rPr>
            <b/>
            <sz val="8"/>
            <color indexed="81"/>
            <rFont val="Tahoma"/>
          </rPr>
          <t>Human and Ecological Risk Div:</t>
        </r>
        <r>
          <rPr>
            <sz val="8"/>
            <color indexed="81"/>
            <rFont val="Tahoma"/>
          </rPr>
          <t xml:space="preserve">
Default value = 15 ug/L, based on the California Maximum Contaminant Level for lead. May be replaced with valid monitoring data from the utility supplying water to the site in question.</t>
        </r>
      </text>
    </comment>
    <comment ref="B12" authorId="0" shapeId="0">
      <text>
        <r>
          <rPr>
            <b/>
            <sz val="8"/>
            <color indexed="81"/>
            <rFont val="Tahoma"/>
          </rPr>
          <t>Human and Ecological Risk Div:</t>
        </r>
        <r>
          <rPr>
            <sz val="8"/>
            <color indexed="81"/>
            <rFont val="Tahoma"/>
          </rPr>
          <t xml:space="preserve">
The default value for residential scenarios is 7% (0.07).  Unless the potential for on-site gardening can be ruled out, it is assumed that 7% of the diet consists of home-grown produce, based on the Exposure Factors Handbook (EPA, 1997).  This pathway is not inclued in calculating total exposure for occupational scenarios.</t>
        </r>
      </text>
    </comment>
    <comment ref="B13" authorId="0" shapeId="0">
      <text>
        <r>
          <rPr>
            <b/>
            <sz val="8"/>
            <color indexed="81"/>
            <rFont val="Tahoma"/>
          </rPr>
          <t>Human and Ecological Risk Div:</t>
        </r>
        <r>
          <rPr>
            <sz val="8"/>
            <color indexed="81"/>
            <rFont val="Tahoma"/>
          </rPr>
          <t xml:space="preserve">
Default value is 1.5 ug/m</t>
        </r>
        <r>
          <rPr>
            <vertAlign val="superscript"/>
            <sz val="8"/>
            <color indexed="81"/>
            <rFont val="Tahoma"/>
            <family val="2"/>
          </rPr>
          <t>3</t>
        </r>
        <r>
          <rPr>
            <sz val="8"/>
            <color indexed="81"/>
            <rFont val="Tahoma"/>
          </rPr>
          <t>, based on Soil Screening Guidance ( U.S. EPA, 1996).  May be replaced with site-specific data.</t>
        </r>
      </text>
    </comment>
    <comment ref="C18" authorId="0" shapeId="0">
      <text>
        <r>
          <rPr>
            <b/>
            <sz val="8"/>
            <color indexed="81"/>
            <rFont val="Tahoma"/>
          </rPr>
          <t>Human and Ecological Risk Div:</t>
        </r>
        <r>
          <rPr>
            <sz val="8"/>
            <color indexed="81"/>
            <rFont val="Tahoma"/>
          </rPr>
          <t xml:space="preserve">
 Default is 7 days/week for residential exposures.  Non-residential exposure scenarios (e.g. recreational) may involve fewer than 7 days/week.</t>
        </r>
      </text>
    </comment>
    <comment ref="C19" authorId="0" shapeId="0">
      <text>
        <r>
          <rPr>
            <b/>
            <sz val="8"/>
            <color indexed="81"/>
            <rFont val="Tahoma"/>
          </rPr>
          <t>Human and Ecological Risk Div:</t>
        </r>
        <r>
          <rPr>
            <sz val="8"/>
            <color indexed="81"/>
            <rFont val="Tahoma"/>
          </rPr>
          <t xml:space="preserve">
Default is  5 days/week for occupational exposures</t>
        </r>
      </text>
    </comment>
    <comment ref="K19" authorId="0" shapeId="0">
      <text>
        <r>
          <rPr>
            <b/>
            <sz val="8"/>
            <color indexed="81"/>
            <rFont val="Tahoma"/>
          </rPr>
          <t>Human and Ecological Risk Div:</t>
        </r>
        <r>
          <rPr>
            <sz val="8"/>
            <color indexed="81"/>
            <rFont val="Tahoma"/>
          </rPr>
          <t xml:space="preserve">
The percentage of the predicted blood lead concentration in cells H10 through L10 that comes from each of the seven pathways.</t>
        </r>
      </text>
    </comment>
    <comment ref="N19" authorId="0" shapeId="0">
      <text>
        <r>
          <rPr>
            <b/>
            <sz val="8"/>
            <color indexed="81"/>
            <rFont val="Tahoma"/>
          </rPr>
          <t>Human and Ecological Risk Div:</t>
        </r>
        <r>
          <rPr>
            <sz val="8"/>
            <color indexed="81"/>
            <rFont val="Tahoma"/>
          </rPr>
          <t xml:space="preserve">
The percentage of the predicted blood lead concentration in cells H13 through L13 that comes from each of the seven pathways.</t>
        </r>
      </text>
    </comment>
    <comment ref="C20" authorId="0" shapeId="0">
      <text>
        <r>
          <rPr>
            <b/>
            <sz val="8"/>
            <color indexed="81"/>
            <rFont val="Tahoma"/>
          </rPr>
          <t>Human and Ecological Risk Div:</t>
        </r>
        <r>
          <rPr>
            <sz val="8"/>
            <color indexed="81"/>
            <rFont val="Tahoma"/>
          </rPr>
          <t xml:space="preserve">
Default value = 1.6 based on White, et al., 1999</t>
        </r>
      </text>
    </comment>
    <comment ref="C21" authorId="0" shapeId="0">
      <text>
        <r>
          <rPr>
            <b/>
            <sz val="8"/>
            <color indexed="81"/>
            <rFont val="Tahoma"/>
          </rPr>
          <t>Human and Ecological Risk Div:</t>
        </r>
        <r>
          <rPr>
            <sz val="8"/>
            <color indexed="81"/>
            <rFont val="Tahoma"/>
          </rPr>
          <t xml:space="preserve">
Default value = 10 ug/dl, based on the U.S. Centers for Disease Control level of concern. The traditional reference dose approach to toxic chemicals is not applied to Pb because most human health effects data are based on blood Pb concentrations rather than external dose.  Blood Pb concentration is an integrated measure of internal dose, reflecting total exposure from site-related and background sources.  A clear no-observed-effect concentration has not been established for such Pb-related endpoints as birth weight, gestation period, heme synthesis and neurobehavioral development in children and fetuses, and blood pressure in middle-aged men.  Dose-response curves for these endpoints appear to extend down to 10 ug Pb/dl or less (ATSDR, 1990).
USEPA (1991c) considers lead to be a class B-2 carcinogen, with sufficient evidence in animals and inadequate evidence in humans. However, carcinogenic risk is typically not calculated based on blood lead concentration.  Therefore this spreadsheet is not a tool for calculating risk of developing cancer.</t>
        </r>
      </text>
    </comment>
    <comment ref="C22" authorId="0" shapeId="0">
      <text>
        <r>
          <rPr>
            <b/>
            <sz val="8"/>
            <color indexed="81"/>
            <rFont val="Tahoma"/>
          </rPr>
          <t>Human and Ecological Risk Div:</t>
        </r>
        <r>
          <rPr>
            <sz val="8"/>
            <color indexed="81"/>
            <rFont val="Tahoma"/>
          </rPr>
          <t xml:space="preserve">
Default value = 5700 cm</t>
        </r>
        <r>
          <rPr>
            <vertAlign val="superscript"/>
            <sz val="8"/>
            <color indexed="81"/>
            <rFont val="Tahoma"/>
            <family val="2"/>
          </rPr>
          <t>2</t>
        </r>
        <r>
          <rPr>
            <sz val="8"/>
            <color indexed="81"/>
            <rFont val="Tahoma"/>
            <family val="2"/>
          </rPr>
          <t>, based on EPA, 1998, Table 3.5</t>
        </r>
      </text>
    </comment>
    <comment ref="D22" authorId="0" shapeId="0">
      <text>
        <r>
          <rPr>
            <b/>
            <sz val="8"/>
            <color indexed="81"/>
            <rFont val="Tahoma"/>
          </rPr>
          <t>Human and Ecological Risk Div:</t>
        </r>
        <r>
          <rPr>
            <sz val="8"/>
            <color indexed="81"/>
            <rFont val="Tahoma"/>
          </rPr>
          <t xml:space="preserve">
Default value = 2900 cm</t>
        </r>
        <r>
          <rPr>
            <vertAlign val="superscript"/>
            <sz val="8"/>
            <color indexed="81"/>
            <rFont val="Tahoma"/>
            <family val="2"/>
          </rPr>
          <t>2</t>
        </r>
        <r>
          <rPr>
            <sz val="8"/>
            <color indexed="81"/>
            <rFont val="Tahoma"/>
          </rPr>
          <t>, based on EPA, 1998, Table 3.5</t>
        </r>
      </text>
    </comment>
    <comment ref="C23" authorId="0" shapeId="0">
      <text>
        <r>
          <rPr>
            <b/>
            <sz val="8"/>
            <color indexed="81"/>
            <rFont val="Tahoma"/>
          </rPr>
          <t>Human and Ecological Risk Div:</t>
        </r>
        <r>
          <rPr>
            <sz val="8"/>
            <color indexed="81"/>
            <rFont val="Tahoma"/>
          </rPr>
          <t xml:space="preserve">
Default value = 2900 cm</t>
        </r>
        <r>
          <rPr>
            <vertAlign val="superscript"/>
            <sz val="8"/>
            <color indexed="81"/>
            <rFont val="Tahoma"/>
            <family val="2"/>
          </rPr>
          <t>2</t>
        </r>
        <r>
          <rPr>
            <sz val="8"/>
            <color indexed="81"/>
            <rFont val="Tahoma"/>
          </rPr>
          <t>, based on EPA, 1998, Table 3.5</t>
        </r>
      </text>
    </comment>
    <comment ref="C24" authorId="0" shapeId="0">
      <text>
        <r>
          <rPr>
            <b/>
            <sz val="8"/>
            <color indexed="81"/>
            <rFont val="Tahoma"/>
          </rPr>
          <t>Human and Ecological Risk Div:</t>
        </r>
        <r>
          <rPr>
            <sz val="8"/>
            <color indexed="81"/>
            <rFont val="Tahoma"/>
          </rPr>
          <t xml:space="preserve">
Default value = 70 ug/cm</t>
        </r>
        <r>
          <rPr>
            <vertAlign val="superscript"/>
            <sz val="8"/>
            <color indexed="81"/>
            <rFont val="Tahoma"/>
            <family val="2"/>
          </rPr>
          <t>2</t>
        </r>
        <r>
          <rPr>
            <sz val="8"/>
            <color indexed="81"/>
            <rFont val="Tahoma"/>
          </rPr>
          <t>, based on EPA, 1998, Table 3.5</t>
        </r>
      </text>
    </comment>
    <comment ref="D24" authorId="0" shapeId="0">
      <text>
        <r>
          <rPr>
            <b/>
            <sz val="8"/>
            <color indexed="81"/>
            <rFont val="Tahoma"/>
          </rPr>
          <t>Human and Ecological Risk Div:</t>
        </r>
        <r>
          <rPr>
            <sz val="8"/>
            <color indexed="81"/>
            <rFont val="Tahoma"/>
          </rPr>
          <t xml:space="preserve">
Default value = 200 ug/cm</t>
        </r>
        <r>
          <rPr>
            <vertAlign val="superscript"/>
            <sz val="8"/>
            <color indexed="81"/>
            <rFont val="Tahoma"/>
            <family val="2"/>
          </rPr>
          <t>2</t>
        </r>
        <r>
          <rPr>
            <sz val="8"/>
            <color indexed="81"/>
            <rFont val="Tahoma"/>
          </rPr>
          <t>, based on EPA, 1998, Table 3.5</t>
        </r>
      </text>
    </comment>
    <comment ref="C25" authorId="0" shapeId="0">
      <text>
        <r>
          <rPr>
            <b/>
            <sz val="8"/>
            <color indexed="81"/>
            <rFont val="Tahoma"/>
          </rPr>
          <t>Human and Ecological Risk Div:</t>
        </r>
        <r>
          <rPr>
            <sz val="8"/>
            <color indexed="81"/>
            <rFont val="Tahoma"/>
          </rPr>
          <t xml:space="preserve">
Default value = 0.0001.  This is calculated as the product of the adult ingestion constant (0.04), the oral bioavailability (0.44), and a dermal/oral absorption ratio of 0.0055.   Dermal absorption is estimated as 0.06%, based on Moore, et al., 1980; Oral absorption is estimated as 11%, based on ATSDR, 1990. </t>
        </r>
      </text>
    </comment>
    <comment ref="C26" authorId="0" shapeId="0">
      <text>
        <r>
          <rPr>
            <b/>
            <sz val="8"/>
            <color indexed="81"/>
            <rFont val="Tahoma"/>
          </rPr>
          <t>Human and Ecological Risk Div:</t>
        </r>
        <r>
          <rPr>
            <sz val="8"/>
            <color indexed="81"/>
            <rFont val="Tahoma"/>
          </rPr>
          <t xml:space="preserve">
Default value = 50 mg/day, based on the Exposure Factors Handbook (EPA, 1997).  </t>
        </r>
      </text>
    </comment>
    <comment ref="D26" authorId="0" shapeId="0">
      <text>
        <r>
          <rPr>
            <b/>
            <sz val="8"/>
            <color indexed="81"/>
            <rFont val="Tahoma"/>
          </rPr>
          <t>Human and Ecological Risk Div:</t>
        </r>
        <r>
          <rPr>
            <sz val="8"/>
            <color indexed="81"/>
            <rFont val="Tahoma"/>
          </rPr>
          <t xml:space="preserve">
Default value = 100 mg/day, based on the Exposure Factors Handbook (EPA, 1997)</t>
        </r>
      </text>
    </comment>
    <comment ref="D27" authorId="0" shapeId="0">
      <text>
        <r>
          <rPr>
            <b/>
            <sz val="8"/>
            <color indexed="81"/>
            <rFont val="Tahoma"/>
          </rPr>
          <t>Human and Ecological Risk Div:</t>
        </r>
        <r>
          <rPr>
            <sz val="8"/>
            <color indexed="81"/>
            <rFont val="Tahoma"/>
          </rPr>
          <t xml:space="preserve">
Default value = 200 mg/day, based on the Exposure Factors Handbook (EPA, 1997)</t>
        </r>
      </text>
    </comment>
    <comment ref="C28" authorId="0" shapeId="0">
      <text>
        <r>
          <rPr>
            <b/>
            <sz val="8"/>
            <color indexed="81"/>
            <rFont val="Tahoma"/>
          </rPr>
          <t>Human and Ecological Risk Div:</t>
        </r>
        <r>
          <rPr>
            <sz val="8"/>
            <color indexed="81"/>
            <rFont val="Tahoma"/>
          </rPr>
          <t xml:space="preserve">
Default value = 0.04, based on an  FDA memorandum (FDA, 1990)</t>
        </r>
      </text>
    </comment>
    <comment ref="D28" authorId="0" shapeId="0">
      <text>
        <r>
          <rPr>
            <b/>
            <sz val="8"/>
            <color indexed="81"/>
            <rFont val="Tahoma"/>
          </rPr>
          <t>Human and Ecological Risk Div:</t>
        </r>
        <r>
          <rPr>
            <sz val="8"/>
            <color indexed="81"/>
            <rFont val="Tahoma"/>
          </rPr>
          <t xml:space="preserve">
Devault value = 0.16, based on a study by Ryu, et al. (1983)</t>
        </r>
      </text>
    </comment>
    <comment ref="C29" authorId="0" shapeId="0">
      <text>
        <r>
          <rPr>
            <b/>
            <sz val="8"/>
            <color indexed="81"/>
            <rFont val="Tahoma"/>
          </rPr>
          <t>Human and Ecological Risk Div:</t>
        </r>
        <r>
          <rPr>
            <sz val="8"/>
            <color indexed="81"/>
            <rFont val="Tahoma"/>
          </rPr>
          <t xml:space="preserve">
The default value is 0.44, based on a study in rats in which the maximum blood Pb concentration resulting from ingestion of contaminated soils was 44% of that resulting from ingestion of a similar amount of lead from lead acetate mixed with the diet (Chaney et.al., 1988).  Alternative site- or waste-specific values may be substituted if scientifically justified.</t>
        </r>
      </text>
    </comment>
    <comment ref="C30" authorId="0" shapeId="0">
      <text>
        <r>
          <rPr>
            <b/>
            <sz val="8"/>
            <color indexed="81"/>
            <rFont val="Tahoma"/>
          </rPr>
          <t>Human and Ecological Risk Div:</t>
        </r>
        <r>
          <rPr>
            <sz val="8"/>
            <color indexed="81"/>
            <rFont val="Tahoma"/>
          </rPr>
          <t xml:space="preserve">
Default value = 20, based on the Exposure Factors Handbook (EPA, 1997).</t>
        </r>
      </text>
    </comment>
    <comment ref="D30" authorId="0" shapeId="0">
      <text>
        <r>
          <rPr>
            <b/>
            <sz val="8"/>
            <color indexed="81"/>
            <rFont val="Tahoma"/>
          </rPr>
          <t>Human and Ecological Risk Div:</t>
        </r>
        <r>
          <rPr>
            <sz val="8"/>
            <color indexed="81"/>
            <rFont val="Tahoma"/>
          </rPr>
          <t xml:space="preserve">
Default value = 6.8, based on the Exposure Factors Handbook (EPA, 1997).</t>
        </r>
      </text>
    </comment>
    <comment ref="K30" authorId="0" shapeId="0">
      <text>
        <r>
          <rPr>
            <b/>
            <sz val="8"/>
            <color indexed="81"/>
            <rFont val="Tahoma"/>
          </rPr>
          <t>Human and Ecological Risk Div:</t>
        </r>
        <r>
          <rPr>
            <sz val="8"/>
            <color indexed="81"/>
            <rFont val="Tahoma"/>
          </rPr>
          <t xml:space="preserve">
The percentage of the predicted blood lead concentration in cells H11 through L11 that comes from each pathway.</t>
        </r>
      </text>
    </comment>
    <comment ref="N30" authorId="0" shapeId="0">
      <text>
        <r>
          <rPr>
            <b/>
            <sz val="8"/>
            <color indexed="81"/>
            <rFont val="Tahoma"/>
          </rPr>
          <t>Human and Ecological Risk Div:</t>
        </r>
        <r>
          <rPr>
            <sz val="8"/>
            <color indexed="81"/>
            <rFont val="Tahoma"/>
          </rPr>
          <t xml:space="preserve">
The percentage of the predicted blood lead concentration in cells H12 through L12 that comes from each pathway.</t>
        </r>
      </text>
    </comment>
    <comment ref="C31" authorId="0" shapeId="0">
      <text>
        <r>
          <rPr>
            <b/>
            <sz val="8"/>
            <color indexed="81"/>
            <rFont val="Tahoma"/>
          </rPr>
          <t>Human and Ecological Risk Div:</t>
        </r>
        <r>
          <rPr>
            <sz val="8"/>
            <color indexed="81"/>
            <rFont val="Tahoma"/>
          </rPr>
          <t xml:space="preserve">
Default value = 0.08, based on a slope of 1.64 ug/dl of blood per ug/m</t>
        </r>
        <r>
          <rPr>
            <vertAlign val="superscript"/>
            <sz val="8"/>
            <color indexed="81"/>
            <rFont val="Tahoma"/>
            <family val="2"/>
          </rPr>
          <t>3</t>
        </r>
        <r>
          <rPr>
            <sz val="8"/>
            <color indexed="81"/>
            <rFont val="Tahoma"/>
          </rPr>
          <t xml:space="preserve"> of continuously-breathed air at atmospheric Pb concentrations less than 5 ug/m</t>
        </r>
        <r>
          <rPr>
            <vertAlign val="superscript"/>
            <sz val="8"/>
            <color indexed="81"/>
            <rFont val="Tahoma"/>
            <family val="2"/>
          </rPr>
          <t>3</t>
        </r>
        <r>
          <rPr>
            <sz val="8"/>
            <color indexed="81"/>
            <rFont val="Tahoma"/>
          </rPr>
          <t xml:space="preserve"> and an assumed breathing rate of 20 m</t>
        </r>
        <r>
          <rPr>
            <vertAlign val="superscript"/>
            <sz val="8"/>
            <color indexed="81"/>
            <rFont val="Tahoma"/>
            <family val="2"/>
          </rPr>
          <t>3</t>
        </r>
        <r>
          <rPr>
            <sz val="8"/>
            <color indexed="81"/>
            <rFont val="Tahoma"/>
          </rPr>
          <t>/day.  This inhalation slope is based on results of experimental exposures and epidemiological studies which adjusted for airborne lead contributions to pathways other than inhalation.  These studies found slopes ranging from 1.25 to 2.14 ug/dl per ug/m</t>
        </r>
        <r>
          <rPr>
            <vertAlign val="superscript"/>
            <sz val="8"/>
            <color indexed="81"/>
            <rFont val="Tahoma"/>
            <family val="2"/>
          </rPr>
          <t>3</t>
        </r>
        <r>
          <rPr>
            <sz val="8"/>
            <color indexed="81"/>
            <rFont val="Tahoma"/>
          </rPr>
          <t xml:space="preserve">  in adults (USEPA, 1986). </t>
        </r>
      </text>
    </comment>
    <comment ref="D31" authorId="0" shapeId="0">
      <text>
        <r>
          <rPr>
            <b/>
            <sz val="8"/>
            <color indexed="81"/>
            <rFont val="Tahoma"/>
          </rPr>
          <t>Human and Ecological Risk Div:</t>
        </r>
        <r>
          <rPr>
            <sz val="8"/>
            <color indexed="81"/>
            <rFont val="Tahoma"/>
          </rPr>
          <t xml:space="preserve">
Default value = 0.192, based on a slope of 1.92 ug/dl of blood per ug/m</t>
        </r>
        <r>
          <rPr>
            <vertAlign val="superscript"/>
            <sz val="8"/>
            <color indexed="81"/>
            <rFont val="Tahoma"/>
            <family val="2"/>
          </rPr>
          <t>3</t>
        </r>
        <r>
          <rPr>
            <sz val="8"/>
            <color indexed="81"/>
            <rFont val="Tahoma"/>
          </rPr>
          <t xml:space="preserve"> of continuously-breathed air at atmospheric Pb concentrations less than 5 ug/m</t>
        </r>
        <r>
          <rPr>
            <vertAlign val="superscript"/>
            <sz val="8"/>
            <color indexed="81"/>
            <rFont val="Tahoma"/>
            <family val="2"/>
          </rPr>
          <t>3</t>
        </r>
        <r>
          <rPr>
            <sz val="8"/>
            <color indexed="81"/>
            <rFont val="Tahoma"/>
          </rPr>
          <t xml:space="preserve"> and an assumed breathing rate of 10 m</t>
        </r>
        <r>
          <rPr>
            <vertAlign val="superscript"/>
            <sz val="8"/>
            <color indexed="81"/>
            <rFont val="Tahoma"/>
            <family val="2"/>
          </rPr>
          <t>3</t>
        </r>
        <r>
          <rPr>
            <sz val="8"/>
            <color indexed="81"/>
            <rFont val="Tahoma"/>
          </rPr>
          <t>/day.  The inhalation slope is based on results of  epidemiological studies which adjusted for airborne lead contributions to pathways other than inhalation.  These studies found slopes ranging from 1.52 to 2.46 ug/dl per ug/m</t>
        </r>
        <r>
          <rPr>
            <vertAlign val="superscript"/>
            <sz val="8"/>
            <color indexed="81"/>
            <rFont val="Tahoma"/>
            <family val="2"/>
          </rPr>
          <t>3</t>
        </r>
        <r>
          <rPr>
            <sz val="8"/>
            <color indexed="81"/>
            <rFont val="Tahoma"/>
          </rPr>
          <t xml:space="preserve">  in children (USEPA, 1986). </t>
        </r>
      </text>
    </comment>
    <comment ref="C32" authorId="0" shapeId="0">
      <text>
        <r>
          <rPr>
            <b/>
            <sz val="8"/>
            <color indexed="81"/>
            <rFont val="Tahoma"/>
          </rPr>
          <t>Human and Ecological Risk Div:</t>
        </r>
        <r>
          <rPr>
            <sz val="8"/>
            <color indexed="81"/>
            <rFont val="Tahoma"/>
          </rPr>
          <t xml:space="preserve">
Default value = 1.4, based on U.S. Food and Drug Administration Total Diet Study (FDA, 1999).</t>
        </r>
      </text>
    </comment>
    <comment ref="D32" authorId="0" shapeId="0">
      <text>
        <r>
          <rPr>
            <b/>
            <sz val="8"/>
            <color indexed="81"/>
            <rFont val="Tahoma"/>
          </rPr>
          <t>Human and Ecological Risk Div:</t>
        </r>
        <r>
          <rPr>
            <sz val="8"/>
            <color indexed="81"/>
            <rFont val="Tahoma"/>
          </rPr>
          <t xml:space="preserve">
Default value = 0.4, based on U.S. Food and Drug Administration Total Diet Study (FDA, 1999).</t>
        </r>
      </text>
    </comment>
    <comment ref="C33" authorId="0" shapeId="0">
      <text>
        <r>
          <rPr>
            <b/>
            <sz val="8"/>
            <color indexed="81"/>
            <rFont val="Tahoma"/>
          </rPr>
          <t>Human and Ecological Risk Div:</t>
        </r>
        <r>
          <rPr>
            <sz val="8"/>
            <color indexed="81"/>
            <rFont val="Tahoma"/>
          </rPr>
          <t xml:space="preserve">
Default value = 1.9, based on U.S. Food and Drug Administration Total Diet Study (FDA, 1999).</t>
        </r>
      </text>
    </comment>
    <comment ref="D33" authorId="0" shapeId="0">
      <text>
        <r>
          <rPr>
            <b/>
            <sz val="8"/>
            <color indexed="81"/>
            <rFont val="Tahoma"/>
          </rPr>
          <t>Human and Ecological Risk Div:</t>
        </r>
        <r>
          <rPr>
            <sz val="8"/>
            <color indexed="81"/>
            <rFont val="Tahoma"/>
          </rPr>
          <t xml:space="preserve">
Default value = 1.1 based on U.S. Food and Drug Administration Total Diet Study (FDA, 1999)</t>
        </r>
      </text>
    </comment>
    <comment ref="C34" authorId="0" shapeId="0">
      <text>
        <r>
          <rPr>
            <b/>
            <sz val="8"/>
            <color indexed="81"/>
            <rFont val="Tahoma"/>
          </rPr>
          <t>Human and Ecological Risk Div:</t>
        </r>
        <r>
          <rPr>
            <sz val="8"/>
            <color indexed="81"/>
            <rFont val="Tahoma"/>
          </rPr>
          <t xml:space="preserve">
Background dietary, Pb concentration (3.07 ug/kg) is based on FDA Total Diet Study (FDA, 1999).  When lead was not detected in a commodity in a quarterly sample, it was assumed that lead was present at 1/2 the detection limit if Pb had been detected in that comodity in any sample that year.  If lead was not detected in that commodity in any sample that year,   it was assumed that Pb was not present (i.e. a value of 0 was used).</t>
        </r>
      </text>
    </comment>
    <comment ref="C35" authorId="0" shapeId="0">
      <text>
        <r>
          <rPr>
            <b/>
            <sz val="8"/>
            <color indexed="81"/>
            <rFont val="Tahoma"/>
          </rPr>
          <t>Human and Ecological Risk Div:</t>
        </r>
        <r>
          <rPr>
            <sz val="8"/>
            <color indexed="81"/>
            <rFont val="Tahoma"/>
          </rPr>
          <t xml:space="preserve">
Pb concentration in homegrown produce is calculated as 0.045% of that in the soil, based on plant uptake studies (Chaney, et.al., 1982), with a units change form mg to ug.   If this pathway is turned off by entering 0 in cell B10, this term drops out and the entire diet is assumed to be at background dietary lead concentration.</t>
        </r>
      </text>
    </comment>
    <comment ref="A37" authorId="0" shapeId="0">
      <text>
        <r>
          <rPr>
            <b/>
            <sz val="8"/>
            <color indexed="81"/>
            <rFont val="Tahoma"/>
          </rPr>
          <t>REFERENCES:</t>
        </r>
        <r>
          <rPr>
            <sz val="8"/>
            <color indexed="81"/>
            <rFont val="Tahoma"/>
          </rPr>
          <t xml:space="preserve">
</t>
        </r>
        <r>
          <rPr>
            <b/>
            <sz val="8"/>
            <color indexed="81"/>
            <rFont val="Tahoma"/>
            <family val="2"/>
          </rPr>
          <t xml:space="preserve">1. </t>
        </r>
        <r>
          <rPr>
            <sz val="9"/>
            <color indexed="81"/>
            <rFont val="Arial"/>
            <family val="2"/>
          </rPr>
          <t xml:space="preserve">ATSDR. 1990.  Agency for Toxic Substances and Disease Registry, U.S. Public Health Service; Toxicological Profile for Lead.
</t>
        </r>
        <r>
          <rPr>
            <b/>
            <sz val="9"/>
            <color indexed="81"/>
            <rFont val="Arial"/>
            <family val="2"/>
          </rPr>
          <t xml:space="preserve">2. </t>
        </r>
        <r>
          <rPr>
            <sz val="9"/>
            <color indexed="81"/>
            <rFont val="Arial"/>
            <family val="2"/>
          </rPr>
          <t>California Air Resources Board, 1999; statewide air monitoring data for 1997.  Data are available on the CARB worldwide web site at http://www.arb.ca.gov/aqd/aqd.htm</t>
        </r>
        <r>
          <rPr>
            <b/>
            <sz val="9"/>
            <color indexed="81"/>
            <rFont val="Arial"/>
            <family val="2"/>
          </rPr>
          <t xml:space="preserve">
3. </t>
        </r>
        <r>
          <rPr>
            <sz val="9"/>
            <color indexed="81"/>
            <rFont val="Arial"/>
            <family val="2"/>
          </rPr>
          <t xml:space="preserve">CDC. 1991.  Centers for Disease Control, U.S. Public Health Service, Preventing Lead Poisoning in Young Children.
</t>
        </r>
        <r>
          <rPr>
            <b/>
            <sz val="9"/>
            <color indexed="81"/>
            <rFont val="Arial"/>
            <family val="2"/>
          </rPr>
          <t xml:space="preserve">4. </t>
        </r>
        <r>
          <rPr>
            <sz val="9"/>
            <color indexed="81"/>
            <rFont val="Arial"/>
            <family val="2"/>
          </rPr>
          <t xml:space="preserve">CDC, 1997, National Health and Nutrition Examination Survey, III 1988-94 (PB97-502959, National Center for Health Statistics, U.S. Department of Health and Human Services).
</t>
        </r>
        <r>
          <rPr>
            <b/>
            <sz val="9"/>
            <color indexed="81"/>
            <rFont val="Arial"/>
            <family val="2"/>
          </rPr>
          <t xml:space="preserve">5. </t>
        </r>
        <r>
          <rPr>
            <sz val="9"/>
            <color indexed="81"/>
            <rFont val="Arial"/>
            <family val="2"/>
          </rPr>
          <t xml:space="preserve">Chaney, R. L, S. B. Sterrett, and H. W. Mielke. 1982.  The Potential for Heavy Metal Exposure from Urban Gardens and Soils; In: </t>
        </r>
        <r>
          <rPr>
            <i/>
            <sz val="9"/>
            <color indexed="81"/>
            <rFont val="Arial"/>
            <family val="2"/>
          </rPr>
          <t>Proceedings of a Symposium on Heavy Metals in Urban Gardens</t>
        </r>
        <r>
          <rPr>
            <sz val="9"/>
            <color indexed="81"/>
            <rFont val="Arial"/>
            <family val="2"/>
          </rPr>
          <t xml:space="preserve">, Agricultural Experiment Station, University of the District of Columbia, James N.  Preer, ed.
</t>
        </r>
        <r>
          <rPr>
            <b/>
            <sz val="9"/>
            <color indexed="81"/>
            <rFont val="Arial"/>
            <family val="2"/>
          </rPr>
          <t xml:space="preserve">6. </t>
        </r>
        <r>
          <rPr>
            <sz val="9"/>
            <color indexed="81"/>
            <rFont val="Arial"/>
            <family val="2"/>
          </rPr>
          <t xml:space="preserve">Chaney, R.L, H. W. Mielke, and S. B. Sterrett. 1988.  Speciation, Mobility, and Bioavailability of Soil Lead; in B.E. Davies and B.G. Wixson (eds), Lead in Soil: Issues and Guidelines (Science Reviews Limited, Norwood, England) pp 105-129.
</t>
        </r>
        <r>
          <rPr>
            <b/>
            <sz val="9"/>
            <color indexed="81"/>
            <rFont val="Arial"/>
            <family val="2"/>
          </rPr>
          <t xml:space="preserve">7.  </t>
        </r>
        <r>
          <rPr>
            <sz val="9"/>
            <color indexed="81"/>
            <rFont val="Arial"/>
            <family val="2"/>
          </rPr>
          <t>U. S. Environmental Protection Agency, May 1996,</t>
        </r>
        <r>
          <rPr>
            <b/>
            <sz val="9"/>
            <color indexed="81"/>
            <rFont val="Arial"/>
            <family val="2"/>
          </rPr>
          <t xml:space="preserve"> </t>
        </r>
        <r>
          <rPr>
            <sz val="9"/>
            <color indexed="81"/>
            <rFont val="Arial"/>
            <family val="2"/>
          </rPr>
          <t xml:space="preserve">Soil Screening Guidance:  Technical Background Document, EPA/540/R-95/128, Office of Solid Waste and Emergency Response, Appendix D, Table 3
</t>
        </r>
        <r>
          <rPr>
            <b/>
            <sz val="9"/>
            <color indexed="81"/>
            <rFont val="Arial"/>
            <family val="2"/>
          </rPr>
          <t xml:space="preserve">8. </t>
        </r>
        <r>
          <rPr>
            <sz val="9"/>
            <color indexed="81"/>
            <rFont val="Arial"/>
            <family val="2"/>
          </rPr>
          <t xml:space="preserve">FDA, 1990, Contaminants Team, Division of Toxicological Review and Evaluation, Food and Drug Administration, Public Health Service, U.S. Department of Health and Human services; Memorandum to Elizabeth Campbell, Division of Regulatory Guidance.
</t>
        </r>
        <r>
          <rPr>
            <b/>
            <sz val="9"/>
            <color indexed="81"/>
            <rFont val="Arial"/>
            <family val="2"/>
          </rPr>
          <t xml:space="preserve">9. </t>
        </r>
        <r>
          <rPr>
            <sz val="9"/>
            <color indexed="81"/>
            <rFont val="Arial"/>
            <family val="2"/>
          </rPr>
          <t xml:space="preserve">FDA. 1999, Total Diet Study.  Data available on the FDA website at http://vm.cfsan.FDA.gov/~acrobat/TDS1byel.pdf
</t>
        </r>
        <r>
          <rPr>
            <b/>
            <sz val="9"/>
            <color indexed="81"/>
            <rFont val="Arial"/>
            <family val="2"/>
          </rPr>
          <t xml:space="preserve">10. </t>
        </r>
        <r>
          <rPr>
            <sz val="9"/>
            <color indexed="81"/>
            <rFont val="Arial"/>
            <family val="2"/>
          </rPr>
          <t xml:space="preserve">Moore, M. R., P. A Meridith, W.S. Watson, D. J. Summer, M. K Taylor, and A Goldberg. 1980.  The percutaneous absorption of lead-203 in humans from cosmetic preparations containing lead acetate as assessed by whole-body, counting and other techniques.  Food Cosmet. Toxicol. 18: 636.
</t>
        </r>
        <r>
          <rPr>
            <b/>
            <sz val="9"/>
            <color indexed="81"/>
            <rFont val="Arial"/>
            <family val="2"/>
          </rPr>
          <t xml:space="preserve">11. </t>
        </r>
        <r>
          <rPr>
            <sz val="9"/>
            <color indexed="81"/>
            <rFont val="Arial"/>
            <family val="2"/>
          </rPr>
          <t xml:space="preserve">Ryu, J.E., E.E. Ziegler. S.E. Nelson, and S.J. Fomon, 1983, Dietary Intake of Lead and Blood Lead Concentration in Early Infancy. Am. J. Dis. Early Child.
</t>
        </r>
        <r>
          <rPr>
            <b/>
            <sz val="9"/>
            <color indexed="81"/>
            <rFont val="Arial"/>
            <family val="2"/>
          </rPr>
          <t xml:space="preserve">12. </t>
        </r>
        <r>
          <rPr>
            <sz val="9"/>
            <color indexed="81"/>
            <rFont val="Arial"/>
            <family val="2"/>
          </rPr>
          <t xml:space="preserve">U. S. Environmental Protection Agency, 1986, Air Quality Criteria for Lead, EPA 600/8-83-028, June 1986, Environmental Criteria and Assessment Office
</t>
        </r>
        <r>
          <rPr>
            <b/>
            <sz val="9"/>
            <color indexed="81"/>
            <rFont val="Arial"/>
            <family val="2"/>
          </rPr>
          <t xml:space="preserve">13. </t>
        </r>
        <r>
          <rPr>
            <sz val="9"/>
            <color indexed="81"/>
            <rFont val="Arial"/>
            <family val="2"/>
          </rPr>
          <t xml:space="preserve">EPA, 1998 Risk Asssessment Guidance for Superfund Volume I: Human Health Evaluation Manual (Part E Supplemental Guidance for Dermal Risk Assessment) Interim Guidance
</t>
        </r>
        <r>
          <rPr>
            <b/>
            <sz val="9"/>
            <color indexed="81"/>
            <rFont val="Arial"/>
            <family val="2"/>
          </rPr>
          <t xml:space="preserve">14. </t>
        </r>
        <r>
          <rPr>
            <sz val="9"/>
            <color indexed="81"/>
            <rFont val="Arial"/>
            <family val="2"/>
          </rPr>
          <t xml:space="preserve">U. S. Environmental Protection Agency, 1997, Exposure Factors Handbook EPA/600/P-95/002Fa, August, 1997, Office of Research and Development
</t>
        </r>
        <r>
          <rPr>
            <b/>
            <sz val="9"/>
            <color indexed="81"/>
            <rFont val="Arial"/>
            <family val="2"/>
          </rPr>
          <t xml:space="preserve">15. </t>
        </r>
        <r>
          <rPr>
            <sz val="9"/>
            <color indexed="81"/>
            <rFont val="Arial"/>
            <family val="2"/>
          </rPr>
          <t>White, P.D., P. VanLeeuwen, B.D. Davis, M. Maddaloni, K.A. Hogan, A.H. Marcus, and R.W. Elias, 1998; Environ. Health Perspect 106, Suppl. 6; 1513</t>
        </r>
      </text>
    </comment>
  </commentList>
</comments>
</file>

<file path=xl/sharedStrings.xml><?xml version="1.0" encoding="utf-8"?>
<sst xmlns="http://schemas.openxmlformats.org/spreadsheetml/2006/main" count="103" uniqueCount="78">
  <si>
    <t>INPUT</t>
  </si>
  <si>
    <t>OUTPUT</t>
  </si>
  <si>
    <t>MEDIUM</t>
  </si>
  <si>
    <t xml:space="preserve"> LEVEL</t>
  </si>
  <si>
    <t>PRG-99</t>
  </si>
  <si>
    <t>PRG-95</t>
  </si>
  <si>
    <t>50th</t>
  </si>
  <si>
    <t>90th</t>
  </si>
  <si>
    <t>95th</t>
  </si>
  <si>
    <t>98th</t>
  </si>
  <si>
    <t>99th</t>
  </si>
  <si>
    <t>(ug/g)</t>
  </si>
  <si>
    <t>EXPOSURE PARAMETERS</t>
  </si>
  <si>
    <t>units</t>
  </si>
  <si>
    <t>adults</t>
  </si>
  <si>
    <t>children</t>
  </si>
  <si>
    <t>Days per week</t>
  </si>
  <si>
    <t>days/wk</t>
  </si>
  <si>
    <t>Soil adherence</t>
  </si>
  <si>
    <t>(ug/dl)/(ug/day)</t>
  </si>
  <si>
    <t>Soil ingestion</t>
  </si>
  <si>
    <t>Inhalation</t>
  </si>
  <si>
    <t>Breathing rate</t>
  </si>
  <si>
    <t>Water ingestion</t>
  </si>
  <si>
    <t>l/day</t>
  </si>
  <si>
    <t>Food ingestion</t>
  </si>
  <si>
    <t>kg/day</t>
  </si>
  <si>
    <t>ug/kg</t>
  </si>
  <si>
    <t>Pathway</t>
  </si>
  <si>
    <t xml:space="preserve">  ug/dl</t>
  </si>
  <si>
    <t xml:space="preserve">  with pica</t>
  </si>
  <si>
    <t>percent</t>
  </si>
  <si>
    <t>Geometric Standard Deviation</t>
  </si>
  <si>
    <t>Bioavailability</t>
  </si>
  <si>
    <t>unitless</t>
  </si>
  <si>
    <t>Blood lead level of concern (ug/dl)</t>
  </si>
  <si>
    <r>
      <t>cm</t>
    </r>
    <r>
      <rPr>
        <vertAlign val="superscript"/>
        <sz val="9"/>
        <rFont val="Arial"/>
        <family val="2"/>
      </rPr>
      <t>2</t>
    </r>
  </si>
  <si>
    <t>Days per week, occupational</t>
  </si>
  <si>
    <t>Dermal uptake constant</t>
  </si>
  <si>
    <t>Ingestion constant</t>
  </si>
  <si>
    <t>Inhalation constant</t>
  </si>
  <si>
    <t>Lead in market basket</t>
  </si>
  <si>
    <t>Skin area, residential</t>
  </si>
  <si>
    <t>Skin area occupational</t>
  </si>
  <si>
    <t>Soil ingestion, pica</t>
  </si>
  <si>
    <r>
      <t>ug/cm</t>
    </r>
    <r>
      <rPr>
        <vertAlign val="superscript"/>
        <sz val="9"/>
        <rFont val="Arial"/>
        <family val="2"/>
      </rPr>
      <t>2</t>
    </r>
  </si>
  <si>
    <t>PEF</t>
  </si>
  <si>
    <t>Pathway contribution</t>
  </si>
  <si>
    <t>Occupational</t>
  </si>
  <si>
    <t>typical</t>
  </si>
  <si>
    <t xml:space="preserve">Residential </t>
  </si>
  <si>
    <t>PATHWAYS</t>
  </si>
  <si>
    <t>ADULTS</t>
  </si>
  <si>
    <t>ug/dl</t>
  </si>
  <si>
    <t>CHILDREN</t>
  </si>
  <si>
    <t>LEAD RISK ASSESSMENT SPREADSHEET</t>
  </si>
  <si>
    <t>CALIFORNIA DEPARTMENT OF TOXIC SUBSTANCES CONTROL</t>
  </si>
  <si>
    <t>Lead in Soil/Dust (ug/g)</t>
  </si>
  <si>
    <t>Lead in Water (ug/l)</t>
  </si>
  <si>
    <t>% Home-grown Produce</t>
  </si>
  <si>
    <r>
      <t>Lead in Air (ug/m</t>
    </r>
    <r>
      <rPr>
        <vertAlign val="superscript"/>
        <sz val="10"/>
        <rFont val="Arial"/>
        <family val="2"/>
      </rPr>
      <t>3</t>
    </r>
    <r>
      <rPr>
        <sz val="10"/>
        <rFont val="Arial"/>
        <family val="2"/>
      </rPr>
      <t>)</t>
    </r>
  </si>
  <si>
    <r>
      <t>Respirable Dust (ug/m</t>
    </r>
    <r>
      <rPr>
        <vertAlign val="superscript"/>
        <sz val="10"/>
        <rFont val="Arial"/>
        <family val="2"/>
      </rPr>
      <t>3</t>
    </r>
    <r>
      <rPr>
        <sz val="10"/>
        <rFont val="Arial"/>
        <family val="2"/>
      </rPr>
      <t>)</t>
    </r>
  </si>
  <si>
    <t>Soil Contact</t>
  </si>
  <si>
    <t>Soil Ingestion</t>
  </si>
  <si>
    <t>Water Ingestion</t>
  </si>
  <si>
    <t>Food Ingestion</t>
  </si>
  <si>
    <t xml:space="preserve">      Percentile Estimate of Blood Pb (ug/dl)</t>
  </si>
  <si>
    <t>BLOOD Pb, CHILD</t>
  </si>
  <si>
    <t>BLOOD Pb, PICA CHILD</t>
  </si>
  <si>
    <t>BLOOD Pb, OCCUPATIONAL</t>
  </si>
  <si>
    <t>BLOOD Pb, ADULT</t>
  </si>
  <si>
    <r>
      <t>m</t>
    </r>
    <r>
      <rPr>
        <vertAlign val="superscript"/>
        <sz val="9"/>
        <rFont val="Arial"/>
        <family val="2"/>
      </rPr>
      <t>3</t>
    </r>
    <r>
      <rPr>
        <sz val="9"/>
        <rFont val="Arial"/>
      </rPr>
      <t>/day</t>
    </r>
  </si>
  <si>
    <r>
      <t xml:space="preserve">USER'S GUIDE </t>
    </r>
    <r>
      <rPr>
        <b/>
        <sz val="8"/>
        <rFont val="Arial"/>
        <family val="2"/>
      </rPr>
      <t>to version 7</t>
    </r>
  </si>
  <si>
    <t>mg/day</t>
  </si>
  <si>
    <t>Inhalation, bkgrnd</t>
  </si>
  <si>
    <t>Food Ingestion, bkgrnd</t>
  </si>
  <si>
    <t>Lead in home-grown produce</t>
  </si>
  <si>
    <t>Click here for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</si>
</sst>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0.0_)"/>
    <numFmt numFmtId="166" formatCode=";;;"/>
    <numFmt numFmtId="168" formatCode="0.00_)"/>
    <numFmt numFmtId="171" formatCode="0.0000"/>
    <numFmt numFmtId="174" formatCode="0.00000"/>
    <numFmt numFmtId="177" formatCode="0.0"/>
    <numFmt numFmtId="180" formatCode="0.0E+0"/>
  </numFmts>
  <fonts count="33" x14ac:knownFonts="1">
    <font>
      <sz val="10"/>
      <name val="Courier"/>
    </font>
    <font>
      <sz val="10"/>
      <name val="MS Sans Serif"/>
    </font>
    <font>
      <sz val="10"/>
      <name val="Arial"/>
    </font>
    <font>
      <b/>
      <sz val="10"/>
      <name val="Arial"/>
    </font>
    <font>
      <sz val="10"/>
      <color indexed="12"/>
      <name val="Arial"/>
    </font>
    <font>
      <sz val="14"/>
      <name val="Arial"/>
    </font>
    <font>
      <sz val="9"/>
      <name val="Arial"/>
    </font>
    <font>
      <sz val="8"/>
      <name val="Arial"/>
    </font>
    <font>
      <sz val="9"/>
      <name val="Arial"/>
      <family val="2"/>
    </font>
    <font>
      <vertAlign val="superscript"/>
      <sz val="9"/>
      <name val="Arial"/>
      <family val="2"/>
    </font>
    <font>
      <sz val="8"/>
      <color indexed="81"/>
      <name val="Tahoma"/>
    </font>
    <font>
      <b/>
      <sz val="8"/>
      <color indexed="81"/>
      <name val="Tahoma"/>
    </font>
    <font>
      <sz val="10"/>
      <name val="Arial"/>
      <family val="2"/>
    </font>
    <font>
      <b/>
      <sz val="10"/>
      <name val="Arial"/>
      <family val="2"/>
    </font>
    <font>
      <sz val="12"/>
      <name val="Arial"/>
      <family val="2"/>
    </font>
    <font>
      <vertAlign val="superscript"/>
      <sz val="10"/>
      <name val="Arial"/>
      <family val="2"/>
    </font>
    <font>
      <vertAlign val="superscript"/>
      <sz val="8"/>
      <color indexed="81"/>
      <name val="Tahoma"/>
      <family val="2"/>
    </font>
    <font>
      <sz val="8"/>
      <color indexed="81"/>
      <name val="Tahoma"/>
      <family val="2"/>
    </font>
    <font>
      <b/>
      <sz val="10"/>
      <name val="Tahoma"/>
      <family val="2"/>
    </font>
    <font>
      <b/>
      <sz val="10"/>
      <color indexed="56"/>
      <name val="Arial"/>
      <family val="2"/>
    </font>
    <font>
      <b/>
      <sz val="10"/>
      <color indexed="17"/>
      <name val="Arial"/>
      <family val="2"/>
    </font>
    <font>
      <b/>
      <sz val="8"/>
      <name val="Arial"/>
      <family val="2"/>
    </font>
    <font>
      <sz val="8"/>
      <name val="Arial"/>
      <family val="2"/>
    </font>
    <font>
      <sz val="9"/>
      <color indexed="81"/>
      <name val="Arial"/>
      <family val="2"/>
    </font>
    <font>
      <i/>
      <sz val="9"/>
      <color indexed="81"/>
      <name val="Arial"/>
      <family val="2"/>
    </font>
    <font>
      <b/>
      <sz val="8"/>
      <color indexed="81"/>
      <name val="Tahoma"/>
      <family val="2"/>
    </font>
    <font>
      <b/>
      <sz val="9"/>
      <color indexed="81"/>
      <name val="Arial"/>
      <family val="2"/>
    </font>
    <font>
      <b/>
      <sz val="8"/>
      <color indexed="12"/>
      <name val="Tahoma"/>
      <family val="2"/>
    </font>
    <font>
      <strike/>
      <sz val="9"/>
      <color indexed="10"/>
      <name val="Arial"/>
      <family val="2"/>
    </font>
    <font>
      <strike/>
      <sz val="10"/>
      <color indexed="10"/>
      <name val="Arial"/>
      <family val="2"/>
    </font>
    <font>
      <b/>
      <strike/>
      <sz val="10"/>
      <color indexed="10"/>
      <name val="Arial"/>
      <family val="2"/>
    </font>
    <font>
      <strike/>
      <sz val="10"/>
      <color indexed="10"/>
      <name val="Arial"/>
    </font>
    <font>
      <strike/>
      <sz val="10"/>
      <color indexed="10"/>
      <name val="Courie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164" fontId="0" fillId="0" borderId="0"/>
    <xf numFmtId="9" fontId="1" fillId="0" borderId="0" applyFont="0" applyFill="0" applyBorder="0" applyAlignment="0" applyProtection="0"/>
  </cellStyleXfs>
  <cellXfs count="143">
    <xf numFmtId="164" fontId="0" fillId="0" borderId="0" xfId="0"/>
    <xf numFmtId="164" fontId="0" fillId="0" borderId="0" xfId="0" applyNumberFormat="1" applyAlignment="1" applyProtection="1">
      <alignment horizontal="left"/>
    </xf>
    <xf numFmtId="164" fontId="0" fillId="0" borderId="0" xfId="0" applyNumberFormat="1" applyProtection="1"/>
    <xf numFmtId="166" fontId="0" fillId="0" borderId="0" xfId="0" applyNumberFormat="1" applyProtection="1"/>
    <xf numFmtId="164" fontId="2" fillId="0" borderId="0" xfId="0" applyFont="1"/>
    <xf numFmtId="164" fontId="2" fillId="0" borderId="0" xfId="0" applyNumberFormat="1" applyFont="1" applyAlignment="1" applyProtection="1">
      <alignment horizontal="left"/>
    </xf>
    <xf numFmtId="164" fontId="2" fillId="0" borderId="0" xfId="0" applyNumberFormat="1" applyFont="1" applyAlignment="1" applyProtection="1">
      <alignment horizontal="fill"/>
    </xf>
    <xf numFmtId="164" fontId="2" fillId="0" borderId="0" xfId="0" applyNumberFormat="1" applyFont="1" applyBorder="1" applyAlignment="1" applyProtection="1">
      <alignment horizontal="center"/>
    </xf>
    <xf numFmtId="166" fontId="2" fillId="0" borderId="0" xfId="0" applyNumberFormat="1" applyFont="1" applyProtection="1"/>
    <xf numFmtId="164" fontId="2" fillId="0" borderId="1" xfId="0" applyNumberFormat="1" applyFont="1" applyBorder="1" applyAlignment="1" applyProtection="1">
      <alignment horizontal="left"/>
    </xf>
    <xf numFmtId="164" fontId="2" fillId="0" borderId="0" xfId="0" quotePrefix="1" applyNumberFormat="1" applyFont="1" applyBorder="1" applyAlignment="1" applyProtection="1">
      <alignment horizontal="center"/>
    </xf>
    <xf numFmtId="164" fontId="6" fillId="0" borderId="1" xfId="0" applyNumberFormat="1" applyFont="1" applyBorder="1" applyAlignment="1" applyProtection="1">
      <alignment horizontal="center"/>
    </xf>
    <xf numFmtId="164" fontId="7" fillId="0" borderId="1" xfId="0" applyNumberFormat="1" applyFont="1" applyBorder="1" applyAlignment="1" applyProtection="1">
      <alignment horizontal="left"/>
    </xf>
    <xf numFmtId="164" fontId="2" fillId="0" borderId="2" xfId="0" applyNumberFormat="1" applyFont="1" applyBorder="1" applyAlignment="1" applyProtection="1">
      <alignment horizontal="left"/>
    </xf>
    <xf numFmtId="164" fontId="2" fillId="0" borderId="3" xfId="0" applyNumberFormat="1" applyFont="1" applyBorder="1" applyAlignment="1" applyProtection="1">
      <alignment horizontal="left"/>
    </xf>
    <xf numFmtId="168" fontId="2" fillId="0" borderId="4" xfId="0" applyNumberFormat="1" applyFont="1" applyBorder="1" applyAlignment="1" applyProtection="1">
      <alignment horizontal="center"/>
    </xf>
    <xf numFmtId="9" fontId="2" fillId="0" borderId="5" xfId="0" applyNumberFormat="1" applyFont="1" applyBorder="1" applyAlignment="1" applyProtection="1">
      <alignment horizontal="center"/>
    </xf>
    <xf numFmtId="164" fontId="2" fillId="0" borderId="2" xfId="0" applyNumberFormat="1" applyFont="1" applyBorder="1" applyAlignment="1" applyProtection="1">
      <alignment horizontal="center"/>
    </xf>
    <xf numFmtId="164" fontId="4" fillId="0" borderId="5" xfId="0" applyNumberFormat="1" applyFont="1" applyBorder="1" applyAlignment="1" applyProtection="1">
      <alignment horizontal="center"/>
      <protection locked="0"/>
    </xf>
    <xf numFmtId="164" fontId="6" fillId="0" borderId="4" xfId="0" applyNumberFormat="1" applyFont="1" applyBorder="1" applyAlignment="1" applyProtection="1">
      <alignment horizontal="left"/>
    </xf>
    <xf numFmtId="164" fontId="2" fillId="0" borderId="0" xfId="0" applyNumberFormat="1" applyFont="1" applyBorder="1" applyAlignment="1" applyProtection="1">
      <alignment horizontal="fill"/>
    </xf>
    <xf numFmtId="164" fontId="2" fillId="0" borderId="0" xfId="0" applyNumberFormat="1" applyFont="1" applyBorder="1" applyAlignment="1" applyProtection="1">
      <alignment horizontal="left"/>
    </xf>
    <xf numFmtId="164" fontId="2" fillId="0" borderId="0" xfId="0" applyFont="1" applyProtection="1">
      <protection locked="0"/>
    </xf>
    <xf numFmtId="164" fontId="2" fillId="0" borderId="0" xfId="0" applyNumberFormat="1" applyFont="1" applyProtection="1">
      <protection locked="0"/>
    </xf>
    <xf numFmtId="164" fontId="0" fillId="0" borderId="0" xfId="0" applyProtection="1">
      <protection locked="0"/>
    </xf>
    <xf numFmtId="164" fontId="7" fillId="0" borderId="5" xfId="0" applyNumberFormat="1" applyFont="1" applyBorder="1" applyAlignment="1" applyProtection="1">
      <alignment horizontal="center"/>
    </xf>
    <xf numFmtId="164" fontId="6" fillId="0" borderId="5" xfId="0" applyNumberFormat="1" applyFont="1" applyBorder="1" applyAlignment="1" applyProtection="1">
      <alignment horizontal="center"/>
    </xf>
    <xf numFmtId="164" fontId="7" fillId="0" borderId="5" xfId="0" applyNumberFormat="1" applyFont="1" applyBorder="1" applyAlignment="1" applyProtection="1">
      <alignment horizontal="left"/>
    </xf>
    <xf numFmtId="164" fontId="2" fillId="0" borderId="0" xfId="0" applyNumberFormat="1" applyFont="1" applyBorder="1" applyAlignment="1" applyProtection="1"/>
    <xf numFmtId="164" fontId="2" fillId="0" borderId="1" xfId="0" applyNumberFormat="1" applyFont="1" applyBorder="1" applyAlignment="1" applyProtection="1">
      <alignment horizontal="center"/>
    </xf>
    <xf numFmtId="164" fontId="2" fillId="0" borderId="6" xfId="0" applyNumberFormat="1" applyFont="1" applyBorder="1" applyAlignment="1" applyProtection="1">
      <alignment horizontal="left"/>
    </xf>
    <xf numFmtId="164" fontId="2" fillId="0" borderId="7" xfId="0" applyNumberFormat="1" applyFont="1" applyBorder="1" applyAlignment="1" applyProtection="1">
      <alignment horizontal="left"/>
    </xf>
    <xf numFmtId="164" fontId="7" fillId="0" borderId="0" xfId="0" applyNumberFormat="1" applyFont="1" applyBorder="1" applyAlignment="1" applyProtection="1">
      <alignment horizontal="left"/>
    </xf>
    <xf numFmtId="164" fontId="6" fillId="0" borderId="0" xfId="0" applyNumberFormat="1" applyFont="1" applyAlignment="1" applyProtection="1">
      <alignment horizontal="center"/>
    </xf>
    <xf numFmtId="177" fontId="4" fillId="0" borderId="5" xfId="0" applyNumberFormat="1" applyFont="1" applyBorder="1" applyAlignment="1" applyProtection="1">
      <alignment horizontal="center" wrapText="1"/>
      <protection locked="0"/>
    </xf>
    <xf numFmtId="164" fontId="6" fillId="0" borderId="3" xfId="0" applyNumberFormat="1" applyFont="1" applyBorder="1" applyAlignment="1" applyProtection="1">
      <alignment horizontal="left" wrapText="1"/>
    </xf>
    <xf numFmtId="177" fontId="2" fillId="0" borderId="3" xfId="0" applyNumberFormat="1" applyFont="1" applyBorder="1" applyAlignment="1" applyProtection="1">
      <alignment horizontal="center" wrapText="1"/>
    </xf>
    <xf numFmtId="177" fontId="2" fillId="0" borderId="5" xfId="0" applyNumberFormat="1" applyFont="1" applyBorder="1" applyAlignment="1" applyProtection="1">
      <alignment horizontal="center" wrapText="1"/>
    </xf>
    <xf numFmtId="164" fontId="2" fillId="0" borderId="0" xfId="0" applyNumberFormat="1" applyFont="1" applyAlignment="1" applyProtection="1">
      <alignment wrapText="1"/>
    </xf>
    <xf numFmtId="164" fontId="0" fillId="0" borderId="0" xfId="0" applyNumberFormat="1" applyAlignment="1" applyProtection="1">
      <alignment wrapText="1"/>
    </xf>
    <xf numFmtId="164" fontId="0" fillId="0" borderId="0" xfId="0" applyAlignment="1">
      <alignment wrapText="1"/>
    </xf>
    <xf numFmtId="164" fontId="4" fillId="0" borderId="5" xfId="0" applyNumberFormat="1" applyFont="1" applyBorder="1" applyAlignment="1" applyProtection="1">
      <alignment horizontal="center" wrapText="1"/>
      <protection locked="0"/>
    </xf>
    <xf numFmtId="164" fontId="2" fillId="0" borderId="0" xfId="0" applyFont="1" applyAlignment="1" applyProtection="1">
      <alignment wrapText="1"/>
      <protection locked="0"/>
    </xf>
    <xf numFmtId="164" fontId="2" fillId="0" borderId="5" xfId="0" applyNumberFormat="1" applyFont="1" applyBorder="1" applyProtection="1"/>
    <xf numFmtId="164" fontId="7" fillId="0" borderId="8" xfId="0" applyNumberFormat="1" applyFont="1" applyBorder="1" applyAlignment="1" applyProtection="1">
      <alignment horizontal="center"/>
    </xf>
    <xf numFmtId="164" fontId="2" fillId="0" borderId="9" xfId="0" applyNumberFormat="1" applyFont="1" applyBorder="1" applyAlignment="1" applyProtection="1">
      <alignment horizontal="left"/>
    </xf>
    <xf numFmtId="164" fontId="2" fillId="0" borderId="3" xfId="0" applyNumberFormat="1" applyFont="1" applyBorder="1" applyAlignment="1" applyProtection="1">
      <alignment horizontal="center"/>
    </xf>
    <xf numFmtId="164" fontId="2" fillId="0" borderId="5" xfId="0" applyNumberFormat="1" applyFont="1" applyBorder="1" applyAlignment="1" applyProtection="1">
      <alignment horizontal="center"/>
    </xf>
    <xf numFmtId="164" fontId="2" fillId="0" borderId="7" xfId="0" applyNumberFormat="1" applyFont="1" applyBorder="1" applyAlignment="1" applyProtection="1">
      <alignment horizontal="center"/>
    </xf>
    <xf numFmtId="164" fontId="7" fillId="0" borderId="1" xfId="0" applyNumberFormat="1" applyFont="1" applyBorder="1" applyAlignment="1" applyProtection="1">
      <alignment horizontal="center"/>
    </xf>
    <xf numFmtId="180" fontId="2" fillId="0" borderId="1" xfId="0" applyNumberFormat="1" applyFont="1" applyBorder="1" applyAlignment="1" applyProtection="1">
      <alignment horizontal="center"/>
    </xf>
    <xf numFmtId="168" fontId="2" fillId="0" borderId="1" xfId="0" applyNumberFormat="1" applyFont="1" applyBorder="1" applyAlignment="1" applyProtection="1">
      <alignment horizontal="center"/>
    </xf>
    <xf numFmtId="9" fontId="2" fillId="0" borderId="1" xfId="0" applyNumberFormat="1" applyFont="1" applyBorder="1" applyAlignment="1" applyProtection="1">
      <alignment horizontal="center"/>
    </xf>
    <xf numFmtId="174" fontId="2" fillId="0" borderId="0" xfId="0" applyNumberFormat="1" applyFont="1" applyBorder="1" applyAlignment="1" applyProtection="1">
      <alignment horizontal="center"/>
    </xf>
    <xf numFmtId="165" fontId="2" fillId="0" borderId="0" xfId="0" applyNumberFormat="1" applyFont="1" applyBorder="1" applyAlignment="1" applyProtection="1">
      <alignment horizontal="center"/>
    </xf>
    <xf numFmtId="164" fontId="2" fillId="0" borderId="4" xfId="0" applyNumberFormat="1" applyFont="1" applyBorder="1" applyAlignment="1" applyProtection="1"/>
    <xf numFmtId="164" fontId="2" fillId="0" borderId="3" xfId="0" applyNumberFormat="1" applyFont="1" applyBorder="1" applyAlignment="1" applyProtection="1"/>
    <xf numFmtId="164" fontId="2" fillId="0" borderId="8" xfId="0" applyNumberFormat="1" applyFont="1" applyBorder="1" applyAlignment="1" applyProtection="1">
      <alignment horizontal="center"/>
    </xf>
    <xf numFmtId="166" fontId="0" fillId="0" borderId="8" xfId="0" applyNumberFormat="1" applyBorder="1" applyProtection="1"/>
    <xf numFmtId="164" fontId="2" fillId="0" borderId="10" xfId="0" applyNumberFormat="1" applyFont="1" applyBorder="1" applyAlignment="1" applyProtection="1">
      <alignment horizontal="fill"/>
    </xf>
    <xf numFmtId="164" fontId="12" fillId="0" borderId="4" xfId="0" applyNumberFormat="1" applyFont="1" applyBorder="1" applyAlignment="1" applyProtection="1">
      <alignment horizontal="left"/>
    </xf>
    <xf numFmtId="164" fontId="12" fillId="0" borderId="4" xfId="0" applyNumberFormat="1" applyFont="1" applyBorder="1" applyAlignment="1" applyProtection="1">
      <alignment horizontal="left" wrapText="1"/>
    </xf>
    <xf numFmtId="9" fontId="4" fillId="0" borderId="5" xfId="1" applyFont="1" applyBorder="1" applyAlignment="1" applyProtection="1">
      <alignment horizontal="center" wrapText="1"/>
      <protection locked="0"/>
    </xf>
    <xf numFmtId="164" fontId="19" fillId="0" borderId="4" xfId="0" applyNumberFormat="1" applyFont="1" applyBorder="1" applyAlignment="1" applyProtection="1">
      <alignment horizontal="center"/>
    </xf>
    <xf numFmtId="164" fontId="20" fillId="0" borderId="3" xfId="0" applyNumberFormat="1" applyFont="1" applyBorder="1" applyAlignment="1" applyProtection="1">
      <alignment horizontal="left"/>
    </xf>
    <xf numFmtId="164" fontId="8" fillId="0" borderId="4" xfId="0" applyNumberFormat="1" applyFont="1" applyBorder="1" applyAlignment="1" applyProtection="1">
      <alignment horizontal="left"/>
    </xf>
    <xf numFmtId="164" fontId="22" fillId="0" borderId="4" xfId="0" applyNumberFormat="1" applyFont="1" applyBorder="1" applyAlignment="1" applyProtection="1">
      <alignment horizontal="left"/>
    </xf>
    <xf numFmtId="164" fontId="2" fillId="0" borderId="0" xfId="0" applyFont="1" applyProtection="1"/>
    <xf numFmtId="164" fontId="13" fillId="0" borderId="0" xfId="0" applyFont="1" applyProtection="1"/>
    <xf numFmtId="164" fontId="2" fillId="0" borderId="5" xfId="0" applyFont="1" applyBorder="1" applyProtection="1"/>
    <xf numFmtId="164" fontId="0" fillId="0" borderId="0" xfId="0" applyProtection="1"/>
    <xf numFmtId="164" fontId="2" fillId="0" borderId="4" xfId="0" applyFont="1" applyBorder="1" applyProtection="1"/>
    <xf numFmtId="164" fontId="2" fillId="0" borderId="3" xfId="0" applyFont="1" applyBorder="1" applyProtection="1"/>
    <xf numFmtId="164" fontId="0" fillId="0" borderId="3" xfId="0" applyBorder="1" applyProtection="1"/>
    <xf numFmtId="164" fontId="2" fillId="0" borderId="6" xfId="0" applyFont="1" applyBorder="1" applyProtection="1"/>
    <xf numFmtId="164" fontId="2" fillId="0" borderId="0" xfId="0" applyFont="1" applyBorder="1" applyProtection="1"/>
    <xf numFmtId="164" fontId="2" fillId="0" borderId="11" xfId="0" applyFont="1" applyBorder="1" applyProtection="1"/>
    <xf numFmtId="164" fontId="8" fillId="0" borderId="1" xfId="0" quotePrefix="1" applyFont="1" applyBorder="1" applyAlignment="1" applyProtection="1">
      <alignment horizontal="center"/>
    </xf>
    <xf numFmtId="164" fontId="0" fillId="0" borderId="1" xfId="0" applyBorder="1" applyProtection="1"/>
    <xf numFmtId="164" fontId="0" fillId="0" borderId="0" xfId="0" applyAlignment="1" applyProtection="1">
      <alignment wrapText="1"/>
    </xf>
    <xf numFmtId="164" fontId="6" fillId="0" borderId="3" xfId="0" applyFont="1" applyBorder="1" applyAlignment="1" applyProtection="1">
      <alignment wrapText="1"/>
    </xf>
    <xf numFmtId="1" fontId="12" fillId="0" borderId="1" xfId="0" quotePrefix="1" applyNumberFormat="1" applyFont="1" applyBorder="1" applyAlignment="1" applyProtection="1">
      <alignment horizontal="center"/>
    </xf>
    <xf numFmtId="164" fontId="0" fillId="0" borderId="7" xfId="0" applyBorder="1" applyProtection="1"/>
    <xf numFmtId="164" fontId="0" fillId="0" borderId="12" xfId="0" applyBorder="1" applyProtection="1"/>
    <xf numFmtId="164" fontId="0" fillId="0" borderId="8" xfId="0" applyBorder="1" applyProtection="1"/>
    <xf numFmtId="164" fontId="2" fillId="0" borderId="12" xfId="0" applyFont="1" applyBorder="1" applyProtection="1"/>
    <xf numFmtId="171" fontId="2" fillId="0" borderId="12" xfId="0" applyNumberFormat="1" applyFont="1" applyBorder="1" applyProtection="1"/>
    <xf numFmtId="164" fontId="18" fillId="0" borderId="0" xfId="0" applyFont="1" applyProtection="1"/>
    <xf numFmtId="164" fontId="28" fillId="0" borderId="4" xfId="0" applyNumberFormat="1" applyFont="1" applyBorder="1" applyAlignment="1" applyProtection="1">
      <alignment horizontal="left"/>
    </xf>
    <xf numFmtId="164" fontId="28" fillId="0" borderId="3" xfId="0" applyFont="1" applyBorder="1" applyAlignment="1" applyProtection="1">
      <alignment wrapText="1"/>
    </xf>
    <xf numFmtId="164" fontId="28" fillId="0" borderId="3" xfId="0" applyNumberFormat="1" applyFont="1" applyBorder="1" applyAlignment="1" applyProtection="1">
      <alignment horizontal="left" wrapText="1"/>
    </xf>
    <xf numFmtId="177" fontId="29" fillId="0" borderId="3" xfId="0" applyNumberFormat="1" applyFont="1" applyBorder="1" applyAlignment="1" applyProtection="1">
      <alignment horizontal="center" wrapText="1"/>
    </xf>
    <xf numFmtId="1" fontId="29" fillId="0" borderId="1" xfId="0" quotePrefix="1" applyNumberFormat="1" applyFont="1" applyBorder="1" applyAlignment="1" applyProtection="1">
      <alignment horizontal="center"/>
    </xf>
    <xf numFmtId="177" fontId="29" fillId="0" borderId="5" xfId="0" applyNumberFormat="1" applyFont="1" applyBorder="1" applyAlignment="1" applyProtection="1">
      <alignment horizontal="center" wrapText="1"/>
    </xf>
    <xf numFmtId="164" fontId="32" fillId="0" borderId="0" xfId="0" applyFont="1" applyProtection="1"/>
    <xf numFmtId="164" fontId="31" fillId="0" borderId="0" xfId="0" applyFont="1" applyProtection="1"/>
    <xf numFmtId="164" fontId="31" fillId="0" borderId="3" xfId="0" applyNumberFormat="1" applyFont="1" applyBorder="1" applyAlignment="1" applyProtection="1">
      <alignment horizontal="center"/>
    </xf>
    <xf numFmtId="164" fontId="31" fillId="0" borderId="5" xfId="0" applyNumberFormat="1" applyFont="1" applyBorder="1" applyAlignment="1" applyProtection="1">
      <alignment horizontal="center"/>
    </xf>
    <xf numFmtId="164" fontId="31" fillId="0" borderId="1" xfId="0" applyNumberFormat="1" applyFont="1" applyBorder="1" applyAlignment="1" applyProtection="1">
      <alignment horizontal="center"/>
    </xf>
    <xf numFmtId="164" fontId="31" fillId="0" borderId="1" xfId="0" applyNumberFormat="1" applyFont="1" applyBorder="1" applyAlignment="1" applyProtection="1">
      <alignment horizontal="left"/>
    </xf>
    <xf numFmtId="164" fontId="31" fillId="0" borderId="4" xfId="0" applyNumberFormat="1" applyFont="1" applyBorder="1" applyAlignment="1" applyProtection="1"/>
    <xf numFmtId="164" fontId="31" fillId="0" borderId="3" xfId="0" applyNumberFormat="1" applyFont="1" applyBorder="1" applyAlignment="1" applyProtection="1"/>
    <xf numFmtId="180" fontId="31" fillId="0" borderId="4" xfId="0" applyNumberFormat="1" applyFont="1" applyBorder="1" applyAlignment="1" applyProtection="1">
      <alignment horizontal="center"/>
    </xf>
    <xf numFmtId="168" fontId="31" fillId="0" borderId="1" xfId="0" applyNumberFormat="1" applyFont="1" applyBorder="1" applyAlignment="1" applyProtection="1">
      <alignment horizontal="center"/>
    </xf>
    <xf numFmtId="9" fontId="31" fillId="0" borderId="5" xfId="0" applyNumberFormat="1" applyFont="1" applyBorder="1" applyAlignment="1" applyProtection="1">
      <alignment horizontal="center"/>
    </xf>
    <xf numFmtId="9" fontId="31" fillId="0" borderId="1" xfId="0" applyNumberFormat="1" applyFont="1" applyBorder="1" applyAlignment="1" applyProtection="1">
      <alignment horizontal="center"/>
    </xf>
    <xf numFmtId="164" fontId="2" fillId="0" borderId="4" xfId="0" applyNumberFormat="1" applyFont="1" applyBorder="1" applyAlignment="1" applyProtection="1">
      <alignment horizontal="center"/>
    </xf>
    <xf numFmtId="164" fontId="2" fillId="0" borderId="3" xfId="0" applyNumberFormat="1" applyFont="1" applyBorder="1" applyAlignment="1" applyProtection="1">
      <alignment horizontal="center"/>
    </xf>
    <xf numFmtId="164" fontId="2" fillId="0" borderId="5" xfId="0" applyNumberFormat="1" applyFont="1" applyBorder="1" applyAlignment="1" applyProtection="1">
      <alignment horizontal="center"/>
    </xf>
    <xf numFmtId="165" fontId="2" fillId="0" borderId="4" xfId="0" applyNumberFormat="1" applyFont="1" applyBorder="1" applyAlignment="1" applyProtection="1">
      <alignment horizontal="center"/>
    </xf>
    <xf numFmtId="165" fontId="2" fillId="0" borderId="5" xfId="0" applyNumberFormat="1" applyFont="1" applyBorder="1" applyAlignment="1" applyProtection="1">
      <alignment horizontal="center"/>
    </xf>
    <xf numFmtId="171" fontId="2" fillId="0" borderId="4" xfId="0" applyNumberFormat="1" applyFont="1" applyBorder="1" applyAlignment="1" applyProtection="1">
      <alignment horizontal="center"/>
    </xf>
    <xf numFmtId="171" fontId="2" fillId="0" borderId="5" xfId="0" applyNumberFormat="1" applyFont="1" applyBorder="1" applyAlignment="1" applyProtection="1">
      <alignment horizontal="center"/>
    </xf>
    <xf numFmtId="164" fontId="2" fillId="0" borderId="0" xfId="0" applyNumberFormat="1" applyFont="1" applyBorder="1" applyAlignment="1" applyProtection="1">
      <alignment horizontal="center"/>
    </xf>
    <xf numFmtId="164" fontId="2" fillId="0" borderId="11" xfId="0" applyNumberFormat="1" applyFont="1" applyBorder="1" applyAlignment="1" applyProtection="1">
      <alignment horizontal="center"/>
    </xf>
    <xf numFmtId="164" fontId="31" fillId="0" borderId="7" xfId="0" applyNumberFormat="1" applyFont="1" applyBorder="1" applyAlignment="1" applyProtection="1">
      <alignment horizontal="center"/>
    </xf>
    <xf numFmtId="164" fontId="31" fillId="0" borderId="12" xfId="0" applyNumberFormat="1" applyFont="1" applyBorder="1" applyAlignment="1" applyProtection="1">
      <alignment horizontal="center"/>
    </xf>
    <xf numFmtId="164" fontId="31" fillId="0" borderId="8" xfId="0" applyNumberFormat="1" applyFont="1" applyBorder="1" applyAlignment="1" applyProtection="1">
      <alignment horizontal="center"/>
    </xf>
    <xf numFmtId="164" fontId="13" fillId="0" borderId="6" xfId="0" applyNumberFormat="1" applyFont="1" applyBorder="1" applyAlignment="1" applyProtection="1">
      <alignment horizontal="center"/>
    </xf>
    <xf numFmtId="164" fontId="13" fillId="0" borderId="13" xfId="0" applyNumberFormat="1" applyFont="1" applyBorder="1" applyAlignment="1" applyProtection="1">
      <alignment horizontal="center"/>
    </xf>
    <xf numFmtId="164" fontId="13" fillId="0" borderId="10" xfId="0" applyNumberFormat="1" applyFont="1" applyBorder="1" applyAlignment="1" applyProtection="1">
      <alignment horizontal="center"/>
    </xf>
    <xf numFmtId="164" fontId="3" fillId="0" borderId="6" xfId="0" applyNumberFormat="1" applyFont="1" applyBorder="1" applyAlignment="1" applyProtection="1">
      <alignment horizontal="center"/>
    </xf>
    <xf numFmtId="164" fontId="3" fillId="0" borderId="13" xfId="0" applyNumberFormat="1" applyFont="1" applyBorder="1" applyAlignment="1" applyProtection="1">
      <alignment horizontal="center"/>
    </xf>
    <xf numFmtId="164" fontId="3" fillId="0" borderId="10" xfId="0" applyNumberFormat="1" applyFont="1" applyBorder="1" applyAlignment="1" applyProtection="1">
      <alignment horizontal="center"/>
    </xf>
    <xf numFmtId="164" fontId="31" fillId="0" borderId="6" xfId="0" applyNumberFormat="1" applyFont="1" applyBorder="1" applyAlignment="1" applyProtection="1">
      <alignment horizontal="center"/>
    </xf>
    <xf numFmtId="164" fontId="31" fillId="0" borderId="13" xfId="0" applyNumberFormat="1" applyFont="1" applyBorder="1" applyAlignment="1" applyProtection="1">
      <alignment horizontal="center"/>
    </xf>
    <xf numFmtId="164" fontId="5" fillId="0" borderId="0" xfId="0" applyNumberFormat="1" applyFont="1" applyAlignment="1" applyProtection="1">
      <alignment horizontal="center"/>
    </xf>
    <xf numFmtId="164" fontId="14" fillId="0" borderId="0" xfId="0" applyNumberFormat="1" applyFont="1" applyAlignment="1" applyProtection="1">
      <alignment horizontal="center"/>
    </xf>
    <xf numFmtId="164" fontId="2" fillId="0" borderId="6" xfId="0" applyNumberFormat="1" applyFont="1" applyBorder="1" applyAlignment="1" applyProtection="1">
      <alignment horizontal="center"/>
    </xf>
    <xf numFmtId="164" fontId="2" fillId="0" borderId="13" xfId="0" applyNumberFormat="1" applyFont="1" applyBorder="1" applyAlignment="1" applyProtection="1">
      <alignment horizontal="center"/>
    </xf>
    <xf numFmtId="164" fontId="2" fillId="0" borderId="4" xfId="0" applyFont="1" applyBorder="1" applyAlignment="1" applyProtection="1">
      <alignment horizontal="center"/>
    </xf>
    <xf numFmtId="164" fontId="2" fillId="0" borderId="3" xfId="0" applyFont="1" applyBorder="1" applyAlignment="1" applyProtection="1">
      <alignment horizontal="center"/>
    </xf>
    <xf numFmtId="164" fontId="2" fillId="0" borderId="5" xfId="0" applyFont="1" applyBorder="1" applyAlignment="1" applyProtection="1">
      <alignment horizontal="center"/>
    </xf>
    <xf numFmtId="164" fontId="31" fillId="0" borderId="7" xfId="0" quotePrefix="1" applyNumberFormat="1" applyFont="1" applyBorder="1" applyAlignment="1" applyProtection="1">
      <alignment horizontal="center"/>
    </xf>
    <xf numFmtId="164" fontId="31" fillId="0" borderId="12" xfId="0" quotePrefix="1" applyNumberFormat="1" applyFont="1" applyBorder="1" applyAlignment="1" applyProtection="1">
      <alignment horizontal="center"/>
    </xf>
    <xf numFmtId="164" fontId="31" fillId="0" borderId="8" xfId="0" quotePrefix="1" applyNumberFormat="1" applyFont="1" applyBorder="1" applyAlignment="1" applyProtection="1">
      <alignment horizontal="center"/>
    </xf>
    <xf numFmtId="164" fontId="31" fillId="0" borderId="4" xfId="0" applyNumberFormat="1" applyFont="1" applyBorder="1" applyAlignment="1" applyProtection="1">
      <alignment horizontal="center"/>
    </xf>
    <xf numFmtId="164" fontId="31" fillId="0" borderId="3" xfId="0" applyNumberFormat="1" applyFont="1" applyBorder="1" applyAlignment="1" applyProtection="1">
      <alignment horizontal="center"/>
    </xf>
    <xf numFmtId="164" fontId="31" fillId="0" borderId="5" xfId="0" applyNumberFormat="1" applyFont="1" applyBorder="1" applyAlignment="1" applyProtection="1">
      <alignment horizontal="center"/>
    </xf>
    <xf numFmtId="164" fontId="13" fillId="0" borderId="0" xfId="0" applyNumberFormat="1" applyFont="1" applyFill="1" applyAlignment="1" applyProtection="1">
      <alignment horizontal="center"/>
    </xf>
    <xf numFmtId="164" fontId="13" fillId="0" borderId="11" xfId="0" applyNumberFormat="1" applyFont="1" applyFill="1" applyBorder="1" applyAlignment="1" applyProtection="1">
      <alignment horizontal="center"/>
    </xf>
    <xf numFmtId="164" fontId="30" fillId="0" borderId="13" xfId="0" applyNumberFormat="1" applyFont="1" applyFill="1" applyBorder="1" applyAlignment="1" applyProtection="1">
      <alignment horizontal="center"/>
    </xf>
    <xf numFmtId="164" fontId="30" fillId="0" borderId="10" xfId="0" applyNumberFormat="1"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dimension ref="A1:AP38"/>
  <sheetViews>
    <sheetView showGridLines="0" tabSelected="1" workbookViewId="0">
      <selection activeCell="A4" sqref="A4"/>
    </sheetView>
  </sheetViews>
  <sheetFormatPr defaultColWidth="6.625" defaultRowHeight="12" x14ac:dyDescent="0.15"/>
  <cols>
    <col min="1" max="1" width="18.125" customWidth="1"/>
    <col min="2" max="2" width="7.375" customWidth="1"/>
    <col min="3" max="3" width="5" customWidth="1"/>
    <col min="4" max="4" width="4.875" customWidth="1"/>
    <col min="5" max="5" width="2.75" customWidth="1"/>
    <col min="6" max="6" width="6.375" customWidth="1"/>
    <col min="7" max="7" width="4.875" customWidth="1"/>
    <col min="8" max="8" width="4.625" customWidth="1"/>
    <col min="9" max="9" width="6.5" customWidth="1"/>
    <col min="10" max="10" width="5.375" customWidth="1"/>
    <col min="11" max="11" width="7" customWidth="1"/>
    <col min="12" max="13" width="6.625" customWidth="1"/>
    <col min="14" max="14" width="6.25" customWidth="1"/>
    <col min="15" max="15" width="6.125" customWidth="1"/>
    <col min="16" max="16" width="5.625" customWidth="1"/>
    <col min="17" max="17" width="6.625" customWidth="1"/>
    <col min="18" max="18" width="5.625" customWidth="1"/>
    <col min="19" max="19" width="5.375" customWidth="1"/>
  </cols>
  <sheetData>
    <row r="1" spans="1:40" ht="18" customHeight="1" x14ac:dyDescent="0.25">
      <c r="A1" s="126" t="s">
        <v>55</v>
      </c>
      <c r="B1" s="126"/>
      <c r="C1" s="126"/>
      <c r="D1" s="126"/>
      <c r="E1" s="126"/>
      <c r="F1" s="126"/>
      <c r="G1" s="126"/>
      <c r="H1" s="126"/>
      <c r="I1" s="126"/>
      <c r="J1" s="126"/>
      <c r="K1" s="126"/>
      <c r="L1" s="126"/>
      <c r="M1" s="126"/>
      <c r="N1" s="126"/>
      <c r="O1" s="4"/>
      <c r="P1" s="4"/>
      <c r="Q1" s="4"/>
      <c r="R1" s="4"/>
      <c r="S1" s="4"/>
      <c r="T1" s="4"/>
      <c r="U1" s="4"/>
      <c r="V1" s="4"/>
      <c r="W1" s="4"/>
      <c r="X1" s="4"/>
      <c r="Y1" s="4"/>
      <c r="Z1" s="4"/>
      <c r="AA1" s="4"/>
    </row>
    <row r="2" spans="1:40" ht="15" x14ac:dyDescent="0.2">
      <c r="A2" s="127" t="s">
        <v>56</v>
      </c>
      <c r="B2" s="127"/>
      <c r="C2" s="127"/>
      <c r="D2" s="127"/>
      <c r="E2" s="127"/>
      <c r="F2" s="127"/>
      <c r="G2" s="127"/>
      <c r="H2" s="127"/>
      <c r="I2" s="127"/>
      <c r="J2" s="127"/>
      <c r="K2" s="127"/>
      <c r="L2" s="127"/>
      <c r="M2" s="127"/>
      <c r="N2" s="127"/>
      <c r="O2" s="4"/>
      <c r="P2" s="4"/>
      <c r="Q2" s="4"/>
      <c r="R2" s="4"/>
      <c r="S2" s="4"/>
      <c r="T2" s="4"/>
      <c r="U2" s="4"/>
      <c r="V2" s="4"/>
      <c r="W2" s="4"/>
      <c r="X2" s="4"/>
      <c r="Y2" s="4"/>
      <c r="Z2" s="4"/>
      <c r="AA2" s="4"/>
    </row>
    <row r="3" spans="1:40" ht="5.25" customHeight="1" x14ac:dyDescent="0.2">
      <c r="A3" s="67"/>
      <c r="B3" s="67"/>
      <c r="C3" s="5"/>
      <c r="D3" s="67"/>
      <c r="E3" s="67"/>
      <c r="F3" s="67"/>
      <c r="G3" s="67"/>
      <c r="H3" s="67"/>
      <c r="I3" s="67"/>
      <c r="J3" s="67"/>
      <c r="K3" s="67"/>
      <c r="L3" s="67"/>
      <c r="M3" s="67"/>
      <c r="N3" s="67"/>
      <c r="O3" s="4"/>
      <c r="P3" s="4"/>
      <c r="Q3" s="4"/>
      <c r="R3" s="4"/>
      <c r="S3" s="4"/>
      <c r="T3" s="4"/>
      <c r="U3" s="4"/>
      <c r="V3" s="4"/>
      <c r="W3" s="4"/>
      <c r="X3" s="4"/>
      <c r="Y3" s="4"/>
      <c r="Z3" s="4"/>
      <c r="AA3" s="4"/>
    </row>
    <row r="4" spans="1:40" ht="15" customHeight="1" x14ac:dyDescent="0.2">
      <c r="A4" s="68" t="s">
        <v>72</v>
      </c>
      <c r="B4" s="67"/>
      <c r="C4" s="5"/>
      <c r="D4" s="67"/>
      <c r="E4" s="67"/>
      <c r="F4" s="67"/>
      <c r="G4" s="67"/>
      <c r="H4" s="67"/>
      <c r="I4" s="67"/>
      <c r="J4" s="67"/>
      <c r="K4" s="67"/>
      <c r="L4" s="67"/>
      <c r="M4" s="67"/>
      <c r="N4" s="67"/>
      <c r="O4" s="4"/>
      <c r="P4" s="4"/>
      <c r="Q4" s="4"/>
      <c r="R4" s="4"/>
      <c r="S4" s="4"/>
      <c r="T4" s="4"/>
      <c r="U4" s="4"/>
      <c r="V4" s="4"/>
      <c r="W4" s="4"/>
      <c r="X4" s="4"/>
      <c r="Y4" s="4"/>
      <c r="Z4" s="4"/>
      <c r="AA4" s="4"/>
    </row>
    <row r="5" spans="1:40" ht="6.75" customHeight="1" x14ac:dyDescent="0.2">
      <c r="A5" s="67"/>
      <c r="B5" s="67"/>
      <c r="C5" s="5"/>
      <c r="D5" s="67"/>
      <c r="E5" s="67"/>
      <c r="F5" s="67"/>
      <c r="G5" s="67"/>
      <c r="H5" s="67"/>
      <c r="I5" s="67"/>
      <c r="J5" s="67"/>
      <c r="K5" s="67"/>
      <c r="L5" s="67"/>
      <c r="M5" s="67"/>
      <c r="N5" s="67"/>
      <c r="O5" s="4"/>
      <c r="P5" s="4"/>
      <c r="Q5" s="4"/>
      <c r="R5" s="4"/>
      <c r="S5" s="4"/>
      <c r="T5" s="4"/>
      <c r="U5" s="4"/>
      <c r="V5" s="4"/>
      <c r="W5" s="4"/>
      <c r="X5" s="4"/>
      <c r="Y5" s="4"/>
      <c r="Z5" s="4"/>
      <c r="AA5" s="4"/>
    </row>
    <row r="6" spans="1:40" ht="15" customHeight="1" x14ac:dyDescent="0.2">
      <c r="A6" s="63" t="s">
        <v>0</v>
      </c>
      <c r="B6" s="69"/>
      <c r="C6" s="70"/>
      <c r="D6" s="71"/>
      <c r="E6" s="72"/>
      <c r="F6" s="72"/>
      <c r="G6" s="73"/>
      <c r="H6" s="64" t="s">
        <v>1</v>
      </c>
      <c r="I6" s="72"/>
      <c r="J6" s="72"/>
      <c r="K6" s="72"/>
      <c r="L6" s="72"/>
      <c r="M6" s="14"/>
      <c r="N6" s="43"/>
      <c r="O6" s="4"/>
      <c r="U6" s="4"/>
      <c r="V6" s="4"/>
      <c r="W6" s="4"/>
      <c r="X6" s="4"/>
      <c r="Y6" s="4"/>
      <c r="Z6" s="4"/>
      <c r="AA6" s="4"/>
    </row>
    <row r="7" spans="1:40" ht="6" customHeight="1" x14ac:dyDescent="0.2">
      <c r="A7" s="74"/>
      <c r="B7" s="59"/>
      <c r="C7" s="70"/>
      <c r="D7" s="30"/>
      <c r="E7" s="20"/>
      <c r="F7" s="20"/>
      <c r="G7" s="20"/>
      <c r="H7" s="75"/>
      <c r="I7" s="20"/>
      <c r="J7" s="20"/>
      <c r="K7" s="20"/>
      <c r="L7" s="20"/>
      <c r="M7" s="20"/>
      <c r="N7" s="76"/>
      <c r="O7" s="4"/>
      <c r="U7" s="4"/>
      <c r="V7" s="4"/>
      <c r="W7" s="4"/>
      <c r="X7" s="4"/>
      <c r="Y7" s="4"/>
      <c r="Z7" s="4"/>
      <c r="AA7" s="4"/>
    </row>
    <row r="8" spans="1:40" ht="15" customHeight="1" x14ac:dyDescent="0.2">
      <c r="A8" s="48" t="s">
        <v>2</v>
      </c>
      <c r="B8" s="57" t="s">
        <v>3</v>
      </c>
      <c r="C8" s="70"/>
      <c r="D8" s="45"/>
      <c r="E8" s="75"/>
      <c r="F8" s="75"/>
      <c r="G8" s="106" t="s">
        <v>66</v>
      </c>
      <c r="H8" s="107"/>
      <c r="I8" s="107"/>
      <c r="J8" s="107"/>
      <c r="K8" s="107"/>
      <c r="L8" s="108"/>
      <c r="M8" s="77" t="s">
        <v>4</v>
      </c>
      <c r="N8" s="77" t="s">
        <v>5</v>
      </c>
      <c r="O8" s="4"/>
      <c r="U8" s="4"/>
      <c r="V8" s="4"/>
      <c r="W8" s="4"/>
      <c r="X8" s="4"/>
      <c r="Y8" s="5"/>
      <c r="Z8" s="4"/>
      <c r="AA8" s="4"/>
    </row>
    <row r="9" spans="1:40" ht="15" customHeight="1" x14ac:dyDescent="0.2">
      <c r="A9" s="60" t="s">
        <v>60</v>
      </c>
      <c r="B9" s="18">
        <v>2.8000000000000001E-2</v>
      </c>
      <c r="C9" s="70"/>
      <c r="D9" s="31"/>
      <c r="E9" s="75"/>
      <c r="F9" s="75"/>
      <c r="G9" s="75"/>
      <c r="H9" s="10" t="s">
        <v>6</v>
      </c>
      <c r="I9" s="7" t="s">
        <v>7</v>
      </c>
      <c r="J9" s="7" t="s">
        <v>8</v>
      </c>
      <c r="K9" s="7" t="s">
        <v>9</v>
      </c>
      <c r="L9" s="7" t="s">
        <v>10</v>
      </c>
      <c r="M9" s="78" t="s">
        <v>11</v>
      </c>
      <c r="N9" s="78" t="s">
        <v>11</v>
      </c>
      <c r="O9" s="5"/>
      <c r="U9" s="5"/>
      <c r="V9" s="5"/>
      <c r="W9" s="5"/>
      <c r="X9" s="5"/>
      <c r="Y9" s="5"/>
      <c r="Z9" s="5"/>
      <c r="AA9" s="5"/>
      <c r="AB9" s="1"/>
      <c r="AC9" s="1"/>
      <c r="AL9" s="2"/>
      <c r="AN9" s="2"/>
    </row>
    <row r="10" spans="1:40" s="40" customFormat="1" ht="15" customHeight="1" x14ac:dyDescent="0.2">
      <c r="A10" s="61" t="s">
        <v>57</v>
      </c>
      <c r="B10" s="34">
        <v>146</v>
      </c>
      <c r="C10" s="79"/>
      <c r="D10" s="88" t="s">
        <v>70</v>
      </c>
      <c r="E10" s="89"/>
      <c r="F10" s="89"/>
      <c r="G10" s="90"/>
      <c r="H10" s="91">
        <f>LEAD_IN_SOIL_DUST*(PEFsca+PEFsia+PEFia+PEFfia)+INHALATION1+water_ing_adu+FOOD_INGESTION1</f>
        <v>1.5868631440000001</v>
      </c>
      <c r="I10" s="91">
        <f>EXP(LN($H$10)+1.282*LN(C20))</f>
        <v>2.8988202818180202</v>
      </c>
      <c r="J10" s="91">
        <f>EXP(LN($H$10)+1.64*LN(C20))</f>
        <v>3.4300167828463359</v>
      </c>
      <c r="K10" s="91">
        <f>EXP(LN($H$10)+2.055*LN(C20))</f>
        <v>4.1687517908085789</v>
      </c>
      <c r="L10" s="91">
        <f>EXP(LN($H$10)+2.33*LN(C20))</f>
        <v>4.7439383123100294</v>
      </c>
      <c r="M10" s="92">
        <f>(EXP(LN(Blood_lead_level_of_concern)-2.33*LN($C$20))-(INHALATION1+water_ing_adu+FOOD_INGESTION1))/(PEFsca+PEFsia+PEFia+PEFfia)</f>
        <v>676.40581966252284</v>
      </c>
      <c r="N10" s="92">
        <f>(EXP(LN(Blood_lead_level_of_concern)-1.64*LN($C$20))-(INHALATION1+water_ing_adu+FOOD_INGESTION1))/(PEFsca+PEFsia+PEFia+PEFfia)</f>
        <v>1062.9694673786335</v>
      </c>
      <c r="O10" s="38"/>
      <c r="U10" s="38"/>
      <c r="V10" s="38"/>
      <c r="W10" s="38"/>
      <c r="X10" s="38"/>
      <c r="Y10" s="38"/>
      <c r="Z10" s="38"/>
      <c r="AA10" s="38"/>
      <c r="AB10" s="39"/>
      <c r="AC10" s="39"/>
      <c r="AK10" s="39"/>
      <c r="AL10" s="39"/>
      <c r="AN10" s="39"/>
    </row>
    <row r="11" spans="1:40" s="40" customFormat="1" ht="15" customHeight="1" x14ac:dyDescent="0.2">
      <c r="A11" s="61" t="s">
        <v>58</v>
      </c>
      <c r="B11" s="41">
        <v>15</v>
      </c>
      <c r="C11" s="79"/>
      <c r="D11" s="65" t="s">
        <v>67</v>
      </c>
      <c r="E11" s="80"/>
      <c r="F11" s="80"/>
      <c r="G11" s="35"/>
      <c r="H11" s="36">
        <f>SUM($J31:$J37)</f>
        <v>3.3447336064000002</v>
      </c>
      <c r="I11" s="36">
        <f>EXP(LN($H11)+1.282*LN(C20))</f>
        <v>6.1100301258938625</v>
      </c>
      <c r="J11" s="36">
        <f>EXP(LN($H11)+1.64*LN(C20))</f>
        <v>7.2296671880496763</v>
      </c>
      <c r="K11" s="36">
        <f>EXP(LN($H11)+2.055*LN(C20))</f>
        <v>8.7867465220161662</v>
      </c>
      <c r="L11" s="37">
        <f>EXP(LN($H11)+2.33*LN(C20))</f>
        <v>9.9991041822771436</v>
      </c>
      <c r="M11" s="81">
        <f>(EXP(LN(Blood_lead_level_of_concern)-2.33*LN($C$20))-(inhalation_child_bkgrnd+water_ingestion_child+food_ingestion_child_bkgrnd))/(PEFscc+PEFsic+PEFic+PEFfic)</f>
        <v>146.02370373193264</v>
      </c>
      <c r="N11" s="81">
        <f>(EXP(LN(Blood_lead_level_of_concern)-1.64*LN($C$20))-(inhalation_child_bkgrnd+water_ingestion_child+food_ingestion_child_bkgrnd))/(PEFscc+PEFsic+PEFic+PEFfic)</f>
        <v>247.3845576508397</v>
      </c>
      <c r="O11" s="38"/>
      <c r="U11" s="38"/>
      <c r="V11" s="38"/>
      <c r="W11" s="38"/>
      <c r="X11" s="38"/>
      <c r="Y11" s="38"/>
      <c r="Z11" s="38"/>
      <c r="AA11" s="38"/>
      <c r="AB11" s="39"/>
      <c r="AC11" s="39"/>
      <c r="AK11" s="39"/>
      <c r="AL11" s="39"/>
      <c r="AN11" s="39"/>
    </row>
    <row r="12" spans="1:40" s="40" customFormat="1" ht="15" customHeight="1" x14ac:dyDescent="0.2">
      <c r="A12" s="60" t="s">
        <v>59</v>
      </c>
      <c r="B12" s="62">
        <v>7.0000000000000007E-2</v>
      </c>
      <c r="C12" s="79"/>
      <c r="D12" s="65" t="s">
        <v>68</v>
      </c>
      <c r="E12" s="80"/>
      <c r="F12" s="80"/>
      <c r="G12" s="35"/>
      <c r="H12" s="36">
        <f>SUM($M31:$M37)</f>
        <v>4.3725736064000005</v>
      </c>
      <c r="I12" s="36">
        <f>EXP(LN($H12)+1.282*LN(C20))</f>
        <v>7.9876485265288162</v>
      </c>
      <c r="J12" s="36">
        <f>EXP(LN($H12)+1.64*LN(C20))</f>
        <v>9.4513511835541912</v>
      </c>
      <c r="K12" s="36">
        <f>EXP(LN($H12)+2.055*LN(C20))</f>
        <v>11.486922562316645</v>
      </c>
      <c r="L12" s="37">
        <f>EXP(LN($H12)+2.33*LN(C20))</f>
        <v>13.071838950465029</v>
      </c>
      <c r="M12" s="81">
        <f>(EXP(LN(Blood_lead_level_of_concern)-2.33*LN($C$20))-(inhalation_child_bkgrnd+water_ingestion_child+food_ingestion_child_bkgrnd))/(PEFscc+PEFsip+PEFic+PEFfic)</f>
        <v>93.791930473015043</v>
      </c>
      <c r="N12" s="81">
        <f>(EXP(LN(Blood_lead_level_of_concern)-1.64*LN($C$20))-(inhalation_child_bkgrnd+water_ingestion_child+food_ingestion_child_bkgrnd))/(PEFscc+PEFsip+PEFic+PEFfic)</f>
        <v>158.89663553446184</v>
      </c>
      <c r="O12" s="38"/>
      <c r="U12" s="38"/>
      <c r="V12" s="38"/>
      <c r="W12" s="38"/>
      <c r="X12" s="38"/>
      <c r="Y12" s="38"/>
      <c r="Z12" s="38"/>
      <c r="AA12" s="38"/>
      <c r="AB12" s="39"/>
      <c r="AC12" s="39"/>
      <c r="AL12" s="39"/>
      <c r="AN12" s="39"/>
    </row>
    <row r="13" spans="1:40" s="40" customFormat="1" ht="15" customHeight="1" x14ac:dyDescent="0.2">
      <c r="A13" s="61" t="s">
        <v>61</v>
      </c>
      <c r="B13" s="41">
        <v>1.5</v>
      </c>
      <c r="C13" s="79"/>
      <c r="D13" s="88" t="s">
        <v>69</v>
      </c>
      <c r="E13" s="89"/>
      <c r="F13" s="89"/>
      <c r="G13" s="90"/>
      <c r="H13" s="91">
        <f>SUM($M20:$M26)</f>
        <v>1.2001802914285715</v>
      </c>
      <c r="I13" s="91">
        <f>EXP(LN($H$13)+1.282*LN(C20))</f>
        <v>2.1924429865209629</v>
      </c>
      <c r="J13" s="91">
        <f>EXP(LN($H$13)+1.64*LN(C20))</f>
        <v>2.5941988492243957</v>
      </c>
      <c r="K13" s="91">
        <f>EXP(LN($H$13)+2.055*LN(C20))</f>
        <v>3.1529207531875345</v>
      </c>
      <c r="L13" s="93">
        <f>EXP(LN($H13)+2.33*LN(C20))</f>
        <v>3.587947257906329</v>
      </c>
      <c r="M13" s="92">
        <f>(EXP(LN(Blood_lead_level_of_concern)-2.33*LN($C$20))-(M22+water_ing_adu+food_ingestion_ocup))/(PEFsco+PEFsio+PEFio)</f>
        <v>3475.2320140085153</v>
      </c>
      <c r="N13" s="92">
        <f>(EXP(LN(Blood_lead_level_of_concern)-1.64*LN($C$20))-(M22+water_ing_adu+food_ingestion_ocup))/(PEFsco+PEFsio+PEFio)</f>
        <v>5464.1650438741663</v>
      </c>
      <c r="O13" s="42"/>
      <c r="U13" s="38"/>
      <c r="V13" s="38"/>
      <c r="W13" s="38"/>
      <c r="X13" s="38"/>
      <c r="Y13" s="38"/>
      <c r="Z13" s="38"/>
      <c r="AA13" s="38"/>
      <c r="AB13" s="39"/>
      <c r="AC13" s="39"/>
      <c r="AL13" s="39"/>
      <c r="AN13" s="39"/>
    </row>
    <row r="14" spans="1:40" ht="13.5" customHeight="1" x14ac:dyDescent="0.2">
      <c r="A14" s="20"/>
      <c r="B14" s="20"/>
      <c r="C14" s="20"/>
      <c r="D14" s="20"/>
      <c r="E14" s="20"/>
      <c r="F14" s="20"/>
      <c r="G14" s="20"/>
      <c r="H14" s="20"/>
      <c r="I14" s="20"/>
      <c r="J14" s="20"/>
      <c r="K14" s="28"/>
      <c r="L14" s="67"/>
      <c r="M14" s="6"/>
      <c r="N14" s="3"/>
      <c r="O14" s="3"/>
      <c r="U14" s="23"/>
      <c r="V14" s="23"/>
      <c r="W14" s="23"/>
      <c r="X14" s="23"/>
      <c r="Y14" s="22"/>
      <c r="Z14" s="22"/>
      <c r="AA14" s="22"/>
      <c r="AB14" s="24"/>
      <c r="AC14" s="24"/>
      <c r="AL14" s="2"/>
      <c r="AN14" s="2"/>
    </row>
    <row r="15" spans="1:40" ht="15" customHeight="1" x14ac:dyDescent="0.2">
      <c r="A15" s="121" t="s">
        <v>12</v>
      </c>
      <c r="B15" s="122"/>
      <c r="C15" s="122"/>
      <c r="D15" s="123"/>
      <c r="E15" s="20"/>
      <c r="F15" s="118" t="s">
        <v>51</v>
      </c>
      <c r="G15" s="119"/>
      <c r="H15" s="119"/>
      <c r="I15" s="119"/>
      <c r="J15" s="119"/>
      <c r="K15" s="119"/>
      <c r="L15" s="119"/>
      <c r="M15" s="119"/>
      <c r="N15" s="120"/>
      <c r="O15" s="3"/>
      <c r="U15" s="23"/>
      <c r="V15" s="23"/>
      <c r="W15" s="23"/>
      <c r="X15" s="23"/>
      <c r="Y15" s="22"/>
      <c r="Z15" s="22"/>
      <c r="AA15" s="22"/>
      <c r="AB15" s="24"/>
      <c r="AC15" s="24"/>
      <c r="AL15" s="2"/>
      <c r="AN15" s="2"/>
    </row>
    <row r="16" spans="1:40" ht="1.5" customHeight="1" x14ac:dyDescent="0.2">
      <c r="A16" s="82"/>
      <c r="B16" s="83"/>
      <c r="C16" s="83"/>
      <c r="D16" s="84"/>
      <c r="E16" s="70"/>
      <c r="F16" s="82"/>
      <c r="G16" s="83"/>
      <c r="H16" s="85"/>
      <c r="I16" s="85"/>
      <c r="J16" s="86"/>
      <c r="K16" s="85"/>
      <c r="L16" s="85"/>
      <c r="M16" s="86"/>
      <c r="N16" s="58"/>
      <c r="O16" s="3"/>
      <c r="U16" s="22"/>
      <c r="V16" s="22"/>
      <c r="W16" s="22"/>
      <c r="X16" s="22"/>
      <c r="Y16" s="22"/>
      <c r="Z16" s="22"/>
      <c r="AA16" s="22"/>
      <c r="AB16" s="24"/>
      <c r="AC16" s="24"/>
      <c r="AL16" s="2"/>
      <c r="AN16" s="2"/>
    </row>
    <row r="17" spans="1:40" ht="15" customHeight="1" x14ac:dyDescent="0.2">
      <c r="A17" s="70"/>
      <c r="B17" s="17" t="s">
        <v>13</v>
      </c>
      <c r="C17" s="13" t="s">
        <v>14</v>
      </c>
      <c r="D17" s="13" t="s">
        <v>15</v>
      </c>
      <c r="E17" s="21"/>
      <c r="F17" s="141" t="s">
        <v>52</v>
      </c>
      <c r="G17" s="141"/>
      <c r="H17" s="142"/>
      <c r="I17" s="133" t="s">
        <v>50</v>
      </c>
      <c r="J17" s="134"/>
      <c r="K17" s="135"/>
      <c r="L17" s="115" t="s">
        <v>48</v>
      </c>
      <c r="M17" s="116"/>
      <c r="N17" s="117"/>
      <c r="U17" s="22"/>
      <c r="V17" s="22"/>
      <c r="W17" s="22"/>
      <c r="X17" s="22"/>
      <c r="Y17" s="22"/>
      <c r="Z17" s="22"/>
      <c r="AA17" s="22"/>
      <c r="AB17" s="24"/>
      <c r="AC17" s="24"/>
      <c r="AL17" s="2"/>
      <c r="AN17" s="2"/>
    </row>
    <row r="18" spans="1:40" ht="15" customHeight="1" x14ac:dyDescent="0.2">
      <c r="A18" s="9" t="s">
        <v>16</v>
      </c>
      <c r="B18" s="44" t="s">
        <v>17</v>
      </c>
      <c r="C18" s="106">
        <v>7</v>
      </c>
      <c r="D18" s="108"/>
      <c r="E18" s="7"/>
      <c r="F18" s="94"/>
      <c r="G18" s="94"/>
      <c r="H18" s="95"/>
      <c r="I18" s="124" t="s">
        <v>47</v>
      </c>
      <c r="J18" s="125"/>
      <c r="K18" s="125"/>
      <c r="L18" s="136" t="s">
        <v>47</v>
      </c>
      <c r="M18" s="137"/>
      <c r="N18" s="138"/>
      <c r="U18" s="22"/>
      <c r="V18" s="22"/>
      <c r="W18" s="22"/>
      <c r="X18" s="22"/>
      <c r="Y18" s="22"/>
      <c r="Z18" s="22"/>
      <c r="AA18" s="22"/>
      <c r="AB18" s="24"/>
      <c r="AC18" s="24"/>
      <c r="AL18" s="2"/>
      <c r="AN18" s="2"/>
    </row>
    <row r="19" spans="1:40" ht="15" customHeight="1" x14ac:dyDescent="0.2">
      <c r="A19" s="9" t="s">
        <v>37</v>
      </c>
      <c r="B19" s="25"/>
      <c r="C19" s="29">
        <v>5</v>
      </c>
      <c r="D19" s="29"/>
      <c r="E19" s="7"/>
      <c r="F19" s="116" t="s">
        <v>28</v>
      </c>
      <c r="G19" s="116"/>
      <c r="H19" s="117"/>
      <c r="I19" s="98" t="s">
        <v>46</v>
      </c>
      <c r="J19" s="98" t="s">
        <v>53</v>
      </c>
      <c r="K19" s="98" t="s">
        <v>31</v>
      </c>
      <c r="L19" s="96" t="s">
        <v>46</v>
      </c>
      <c r="M19" s="99" t="s">
        <v>29</v>
      </c>
      <c r="N19" s="98" t="s">
        <v>31</v>
      </c>
      <c r="U19" s="22"/>
      <c r="V19" s="22"/>
      <c r="W19" s="22"/>
      <c r="X19" s="22"/>
      <c r="Y19" s="22"/>
      <c r="Z19" s="22"/>
      <c r="AA19" s="22"/>
      <c r="AB19" s="24"/>
      <c r="AC19" s="24"/>
      <c r="AL19" s="2"/>
      <c r="AN19" s="2"/>
    </row>
    <row r="20" spans="1:40" ht="15" customHeight="1" x14ac:dyDescent="0.2">
      <c r="A20" s="9" t="s">
        <v>32</v>
      </c>
      <c r="B20" s="25"/>
      <c r="C20" s="106">
        <v>1.6</v>
      </c>
      <c r="D20" s="108"/>
      <c r="E20" s="7"/>
      <c r="F20" s="100" t="s">
        <v>62</v>
      </c>
      <c r="G20" s="101"/>
      <c r="H20" s="97"/>
      <c r="I20" s="102">
        <f>Dermal_uptake_constant*Skin_area__residential*Soil_adherence*Days_per_week/7*0.000001</f>
        <v>3.8304000000000005E-5</v>
      </c>
      <c r="J20" s="103">
        <f>$B$10*PEFsca</f>
        <v>5.5923840000000006E-3</v>
      </c>
      <c r="K20" s="104">
        <f t="shared" ref="K20:K26" si="0">J20/$H$10</f>
        <v>3.5241753651819646E-3</v>
      </c>
      <c r="L20" s="102">
        <f>Dermal_uptake_constant*Skin_area_ocupational*Soil_adherence*workdays_per_week/7*0.000001</f>
        <v>1.3919999999999999E-5</v>
      </c>
      <c r="M20" s="103">
        <f>$B$10*PEFsco</f>
        <v>2.0323199999999998E-3</v>
      </c>
      <c r="N20" s="105">
        <f t="shared" ref="N20:N26" si="1">M20/$H$13</f>
        <v>1.6933455869208905E-3</v>
      </c>
      <c r="U20" s="22"/>
      <c r="V20" s="22"/>
      <c r="W20" s="22"/>
      <c r="X20" s="22"/>
      <c r="Y20" s="22"/>
      <c r="Z20" s="22"/>
      <c r="AA20" s="22"/>
      <c r="AB20" s="24"/>
      <c r="AC20" s="24"/>
      <c r="AL20" s="2"/>
      <c r="AN20" s="2"/>
    </row>
    <row r="21" spans="1:40" ht="15" customHeight="1" x14ac:dyDescent="0.2">
      <c r="A21" s="9" t="s">
        <v>35</v>
      </c>
      <c r="B21" s="25"/>
      <c r="C21" s="106">
        <v>10</v>
      </c>
      <c r="D21" s="108"/>
      <c r="E21" s="7"/>
      <c r="F21" s="100" t="s">
        <v>63</v>
      </c>
      <c r="G21" s="101"/>
      <c r="H21" s="97"/>
      <c r="I21" s="102">
        <f>C26*C28*C29*0.001*C18/7</f>
        <v>8.8000000000000003E-4</v>
      </c>
      <c r="J21" s="103">
        <f>$B$10*PEFsia</f>
        <v>0.12848000000000001</v>
      </c>
      <c r="K21" s="104">
        <f t="shared" si="0"/>
        <v>8.0964764028825423E-2</v>
      </c>
      <c r="L21" s="102">
        <f>C26*C28*C29*0.001*workdays_per_week/7</f>
        <v>6.2857142857142864E-4</v>
      </c>
      <c r="M21" s="103">
        <f>$B$10*PEFsio</f>
        <v>9.1771428571428587E-2</v>
      </c>
      <c r="N21" s="105">
        <f t="shared" si="1"/>
        <v>7.6464702200861254E-2</v>
      </c>
      <c r="U21" s="22"/>
      <c r="V21" s="22"/>
      <c r="W21" s="22"/>
      <c r="X21" s="22"/>
      <c r="Y21" s="22"/>
      <c r="Z21" s="22"/>
      <c r="AA21" s="22"/>
      <c r="AB21" s="24"/>
      <c r="AC21" s="24"/>
      <c r="AL21" s="2"/>
      <c r="AN21" s="2"/>
    </row>
    <row r="22" spans="1:40" ht="15" customHeight="1" x14ac:dyDescent="0.2">
      <c r="A22" s="9" t="s">
        <v>42</v>
      </c>
      <c r="B22" s="26" t="s">
        <v>36</v>
      </c>
      <c r="C22" s="29">
        <v>5700</v>
      </c>
      <c r="D22" s="29">
        <v>2900</v>
      </c>
      <c r="E22" s="7"/>
      <c r="F22" s="100" t="s">
        <v>74</v>
      </c>
      <c r="G22" s="101"/>
      <c r="H22" s="97"/>
      <c r="I22" s="102"/>
      <c r="J22" s="103">
        <f>C$30*C$31*$B$9*C$18/7</f>
        <v>4.5919999999999996E-2</v>
      </c>
      <c r="K22" s="104">
        <f t="shared" si="0"/>
        <v>2.8937593121136848E-2</v>
      </c>
      <c r="L22" s="102"/>
      <c r="M22" s="103">
        <f>C$30*C$31*$B$9*C$19/7</f>
        <v>3.2799999999999989E-2</v>
      </c>
      <c r="N22" s="105">
        <f t="shared" si="1"/>
        <v>2.7329227312138441E-2</v>
      </c>
      <c r="O22" s="4"/>
      <c r="U22" s="4"/>
      <c r="V22" s="4"/>
      <c r="W22" s="4"/>
      <c r="X22" s="4"/>
      <c r="Y22" s="4"/>
      <c r="Z22" s="4"/>
      <c r="AA22" s="4"/>
      <c r="AL22" s="2"/>
      <c r="AN22" s="2"/>
    </row>
    <row r="23" spans="1:40" ht="15" customHeight="1" x14ac:dyDescent="0.2">
      <c r="A23" s="9" t="s">
        <v>43</v>
      </c>
      <c r="B23" s="26" t="s">
        <v>36</v>
      </c>
      <c r="C23" s="29">
        <v>2900</v>
      </c>
      <c r="D23" s="29"/>
      <c r="E23" s="7"/>
      <c r="F23" s="100" t="s">
        <v>21</v>
      </c>
      <c r="G23" s="101"/>
      <c r="H23" s="97"/>
      <c r="I23" s="102">
        <f>C$30*C$31*$B$13*0.000001*C$18/7</f>
        <v>2.4599999999999993E-6</v>
      </c>
      <c r="J23" s="103">
        <f>B10*PEFia</f>
        <v>3.5915999999999992E-4</v>
      </c>
      <c r="K23" s="104">
        <f t="shared" si="0"/>
        <v>2.2633331762603461E-4</v>
      </c>
      <c r="L23" s="102">
        <f>C$30*C$31*$B$13*0.000001*workdays_per_week/7</f>
        <v>1.7571428571428568E-6</v>
      </c>
      <c r="M23" s="103">
        <f>B10*PEFio</f>
        <v>2.5654285714285708E-4</v>
      </c>
      <c r="N23" s="105">
        <f t="shared" si="1"/>
        <v>2.1375359933422568E-4</v>
      </c>
      <c r="O23" s="4"/>
      <c r="U23" s="4"/>
      <c r="V23" s="4"/>
      <c r="W23" s="4"/>
      <c r="X23" s="4"/>
      <c r="Y23" s="4"/>
      <c r="Z23" s="4"/>
      <c r="AA23" s="4"/>
      <c r="AL23" s="2"/>
      <c r="AN23" s="2"/>
    </row>
    <row r="24" spans="1:40" ht="15" customHeight="1" x14ac:dyDescent="0.2">
      <c r="A24" s="9" t="s">
        <v>18</v>
      </c>
      <c r="B24" s="26" t="s">
        <v>45</v>
      </c>
      <c r="C24" s="29">
        <v>70</v>
      </c>
      <c r="D24" s="29">
        <v>200</v>
      </c>
      <c r="E24" s="7"/>
      <c r="F24" s="100" t="s">
        <v>64</v>
      </c>
      <c r="G24" s="101"/>
      <c r="H24" s="97"/>
      <c r="I24" s="102"/>
      <c r="J24" s="103">
        <f>$B$11*C32*C28</f>
        <v>0.84</v>
      </c>
      <c r="K24" s="104">
        <f t="shared" si="0"/>
        <v>0.52934621563055217</v>
      </c>
      <c r="L24" s="102"/>
      <c r="M24" s="103">
        <f>water_ing_adu</f>
        <v>0.84</v>
      </c>
      <c r="N24" s="105">
        <f t="shared" si="1"/>
        <v>0.69989484579866756</v>
      </c>
      <c r="O24" s="4"/>
      <c r="U24" s="4"/>
      <c r="V24" s="4"/>
      <c r="W24" s="4"/>
      <c r="X24" s="4"/>
      <c r="Y24" s="4"/>
      <c r="Z24" s="4"/>
      <c r="AA24" s="4"/>
      <c r="AL24" s="2"/>
      <c r="AN24" s="2"/>
    </row>
    <row r="25" spans="1:40" ht="15" customHeight="1" x14ac:dyDescent="0.2">
      <c r="A25" s="9" t="s">
        <v>38</v>
      </c>
      <c r="B25" s="27" t="s">
        <v>19</v>
      </c>
      <c r="C25" s="111">
        <f>C28*C29*0.0006/0.11</f>
        <v>9.6000000000000002E-5</v>
      </c>
      <c r="D25" s="112"/>
      <c r="E25" s="53"/>
      <c r="F25" s="100" t="s">
        <v>75</v>
      </c>
      <c r="G25" s="101"/>
      <c r="H25" s="97"/>
      <c r="I25" s="102"/>
      <c r="J25" s="103">
        <f>$C$33*$C$28*(1-$B12)*$C34</f>
        <v>0.21698759999999997</v>
      </c>
      <c r="K25" s="104">
        <f t="shared" si="0"/>
        <v>0.13673995821280474</v>
      </c>
      <c r="L25" s="102"/>
      <c r="M25" s="103">
        <f>$C$33*$C$28*$C34</f>
        <v>0.23331999999999997</v>
      </c>
      <c r="N25" s="105">
        <f t="shared" si="1"/>
        <v>0.1944041255020775</v>
      </c>
      <c r="O25" s="4"/>
      <c r="U25" s="4"/>
      <c r="V25" s="4"/>
      <c r="W25" s="4"/>
      <c r="X25" s="4"/>
      <c r="Y25" s="4"/>
      <c r="Z25" s="4"/>
      <c r="AA25" s="4"/>
      <c r="AL25" s="2"/>
      <c r="AN25" s="2"/>
    </row>
    <row r="26" spans="1:40" ht="15" customHeight="1" x14ac:dyDescent="0.2">
      <c r="A26" s="9" t="s">
        <v>20</v>
      </c>
      <c r="B26" s="11" t="s">
        <v>73</v>
      </c>
      <c r="C26" s="29">
        <v>50</v>
      </c>
      <c r="D26" s="29">
        <v>100</v>
      </c>
      <c r="E26" s="7"/>
      <c r="F26" s="100" t="s">
        <v>65</v>
      </c>
      <c r="G26" s="101"/>
      <c r="H26" s="97"/>
      <c r="I26" s="102">
        <f>C$33*C$28*B12*0.45</f>
        <v>2.3940000000000003E-3</v>
      </c>
      <c r="J26" s="103">
        <f>LEAD_IN_SOIL_DUST*PEFfia</f>
        <v>0.34952400000000006</v>
      </c>
      <c r="K26" s="104">
        <f t="shared" si="0"/>
        <v>0.2202609603238728</v>
      </c>
      <c r="L26" s="102"/>
      <c r="M26" s="103"/>
      <c r="N26" s="105">
        <f t="shared" si="1"/>
        <v>0</v>
      </c>
      <c r="O26" s="4"/>
      <c r="U26" s="8"/>
      <c r="V26" s="8"/>
      <c r="W26" s="8"/>
      <c r="X26" s="8"/>
      <c r="Y26" s="4"/>
      <c r="Z26" s="4"/>
      <c r="AA26" s="4"/>
      <c r="AL26" s="2"/>
      <c r="AN26" s="2"/>
    </row>
    <row r="27" spans="1:40" ht="15" customHeight="1" x14ac:dyDescent="0.2">
      <c r="A27" s="9" t="s">
        <v>44</v>
      </c>
      <c r="B27" s="11" t="s">
        <v>73</v>
      </c>
      <c r="C27" s="29"/>
      <c r="D27" s="29">
        <v>200</v>
      </c>
      <c r="E27" s="7"/>
      <c r="F27" s="70"/>
      <c r="G27" s="70"/>
      <c r="H27" s="70"/>
      <c r="I27" s="6"/>
      <c r="J27" s="6"/>
      <c r="K27" s="6"/>
      <c r="L27" s="6"/>
      <c r="M27" s="6"/>
      <c r="N27" s="6"/>
      <c r="O27" s="4"/>
      <c r="U27" s="8"/>
      <c r="V27" s="8"/>
      <c r="W27" s="8"/>
      <c r="X27" s="8"/>
      <c r="Y27" s="4"/>
      <c r="Z27" s="4"/>
      <c r="AA27" s="4"/>
      <c r="AL27" s="2"/>
      <c r="AN27" s="2"/>
    </row>
    <row r="28" spans="1:40" ht="15" customHeight="1" x14ac:dyDescent="0.2">
      <c r="A28" s="9" t="s">
        <v>39</v>
      </c>
      <c r="B28" s="12" t="s">
        <v>19</v>
      </c>
      <c r="C28" s="29">
        <f>0.04</f>
        <v>0.04</v>
      </c>
      <c r="D28" s="29">
        <f>0.16</f>
        <v>0.16</v>
      </c>
      <c r="E28" s="7"/>
      <c r="F28" s="139" t="s">
        <v>54</v>
      </c>
      <c r="G28" s="139"/>
      <c r="H28" s="140"/>
      <c r="I28" s="130" t="s">
        <v>49</v>
      </c>
      <c r="J28" s="131"/>
      <c r="K28" s="132"/>
      <c r="L28" s="106" t="s">
        <v>30</v>
      </c>
      <c r="M28" s="107"/>
      <c r="N28" s="108"/>
      <c r="O28" s="4"/>
      <c r="U28" s="8"/>
      <c r="V28" s="8"/>
      <c r="W28" s="8"/>
      <c r="X28" s="8"/>
      <c r="Y28" s="4"/>
      <c r="Z28" s="4"/>
      <c r="AA28" s="4"/>
      <c r="AL28" s="2"/>
      <c r="AN28" s="2"/>
    </row>
    <row r="29" spans="1:40" ht="15" customHeight="1" x14ac:dyDescent="0.2">
      <c r="A29" s="9" t="s">
        <v>33</v>
      </c>
      <c r="B29" s="49" t="s">
        <v>34</v>
      </c>
      <c r="C29" s="106">
        <v>0.44</v>
      </c>
      <c r="D29" s="108"/>
      <c r="E29" s="7"/>
      <c r="F29" s="70"/>
      <c r="G29" s="70"/>
      <c r="H29" s="67"/>
      <c r="I29" s="128" t="s">
        <v>47</v>
      </c>
      <c r="J29" s="129"/>
      <c r="K29" s="129"/>
      <c r="L29" s="106" t="s">
        <v>47</v>
      </c>
      <c r="M29" s="107"/>
      <c r="N29" s="108"/>
      <c r="O29" s="4"/>
      <c r="U29" s="8"/>
      <c r="V29" s="8"/>
      <c r="W29" s="8"/>
      <c r="X29" s="8"/>
      <c r="Y29" s="4"/>
      <c r="Z29" s="4"/>
      <c r="AA29" s="4"/>
      <c r="AL29" s="2"/>
      <c r="AN29" s="2"/>
    </row>
    <row r="30" spans="1:40" ht="15" customHeight="1" x14ac:dyDescent="0.2">
      <c r="A30" s="9" t="s">
        <v>22</v>
      </c>
      <c r="B30" s="11" t="s">
        <v>71</v>
      </c>
      <c r="C30" s="29">
        <v>20</v>
      </c>
      <c r="D30" s="29">
        <v>6.8</v>
      </c>
      <c r="E30" s="7"/>
      <c r="F30" s="113" t="s">
        <v>28</v>
      </c>
      <c r="G30" s="113"/>
      <c r="H30" s="114"/>
      <c r="I30" s="29" t="s">
        <v>46</v>
      </c>
      <c r="J30" s="29" t="s">
        <v>53</v>
      </c>
      <c r="K30" s="29" t="s">
        <v>31</v>
      </c>
      <c r="L30" s="46" t="s">
        <v>46</v>
      </c>
      <c r="M30" s="9" t="s">
        <v>29</v>
      </c>
      <c r="N30" s="29" t="s">
        <v>31</v>
      </c>
      <c r="O30" s="4"/>
      <c r="P30" s="4"/>
      <c r="Q30" s="4"/>
      <c r="R30" s="4"/>
      <c r="S30" s="4"/>
      <c r="T30" s="4"/>
      <c r="U30" s="4"/>
      <c r="V30" s="4"/>
      <c r="W30" s="4"/>
      <c r="X30" s="4"/>
      <c r="Y30" s="4"/>
      <c r="Z30" s="4"/>
      <c r="AA30" s="4"/>
      <c r="AL30" s="2"/>
      <c r="AN30" s="2"/>
    </row>
    <row r="31" spans="1:40" ht="15" customHeight="1" x14ac:dyDescent="0.2">
      <c r="A31" s="9" t="s">
        <v>40</v>
      </c>
      <c r="B31" s="12" t="s">
        <v>19</v>
      </c>
      <c r="C31" s="29">
        <f>1.64/20</f>
        <v>8.199999999999999E-2</v>
      </c>
      <c r="D31" s="29">
        <f>1.92/10</f>
        <v>0.192</v>
      </c>
      <c r="E31" s="7"/>
      <c r="F31" s="55" t="s">
        <v>62</v>
      </c>
      <c r="G31" s="56"/>
      <c r="H31" s="47"/>
      <c r="I31" s="50">
        <f>$D22*$D24*$C25*0.000001*$C18/7</f>
        <v>5.5679999999999995E-5</v>
      </c>
      <c r="J31" s="51">
        <f>$B$10*PEFscc</f>
        <v>8.1292799999999991E-3</v>
      </c>
      <c r="K31" s="16">
        <f t="shared" ref="K31:K37" si="2">J31/$H$11</f>
        <v>2.4304715880645862E-3</v>
      </c>
      <c r="L31" s="50"/>
      <c r="M31" s="15">
        <f>soil_contact_child</f>
        <v>8.1292799999999991E-3</v>
      </c>
      <c r="N31" s="52">
        <f t="shared" ref="N31:N37" si="3">M31/$H$12</f>
        <v>1.8591522365916091E-3</v>
      </c>
      <c r="O31" s="4"/>
      <c r="P31" s="4"/>
      <c r="Q31" s="4"/>
      <c r="R31" s="4"/>
      <c r="S31" s="4"/>
      <c r="T31" s="4"/>
      <c r="U31" s="4"/>
      <c r="V31" s="4"/>
      <c r="W31" s="4"/>
      <c r="X31" s="4"/>
      <c r="Y31" s="4"/>
      <c r="Z31" s="4"/>
      <c r="AA31" s="4"/>
      <c r="AL31" s="2"/>
      <c r="AN31" s="2"/>
    </row>
    <row r="32" spans="1:40" ht="15" customHeight="1" x14ac:dyDescent="0.2">
      <c r="A32" s="9" t="s">
        <v>23</v>
      </c>
      <c r="B32" s="11" t="s">
        <v>24</v>
      </c>
      <c r="C32" s="29">
        <v>1.4</v>
      </c>
      <c r="D32" s="29">
        <v>0.4</v>
      </c>
      <c r="E32" s="7"/>
      <c r="F32" s="55" t="s">
        <v>63</v>
      </c>
      <c r="G32" s="56"/>
      <c r="H32" s="47"/>
      <c r="I32" s="50">
        <f>$D26*$D28*$C29*0.001*$C18/7</f>
        <v>7.0400000000000003E-3</v>
      </c>
      <c r="J32" s="51">
        <f>$B10*PEFsic</f>
        <v>1.0278400000000001</v>
      </c>
      <c r="K32" s="16">
        <f t="shared" si="2"/>
        <v>0.30730100538747646</v>
      </c>
      <c r="L32" s="50">
        <f>$D27*$D28*$C29*0.001*$C18/7</f>
        <v>1.4080000000000001E-2</v>
      </c>
      <c r="M32" s="15">
        <f>$B10*PEFsip</f>
        <v>2.0556800000000002</v>
      </c>
      <c r="N32" s="52">
        <f t="shared" si="3"/>
        <v>0.47013045063236103</v>
      </c>
      <c r="O32" s="4"/>
      <c r="P32" s="4"/>
      <c r="Q32" s="4"/>
      <c r="R32" s="4"/>
      <c r="S32" s="4"/>
      <c r="T32" s="4"/>
      <c r="U32" s="4"/>
      <c r="V32" s="4"/>
      <c r="W32" s="4"/>
      <c r="X32" s="4"/>
      <c r="Y32" s="4"/>
      <c r="Z32" s="4"/>
      <c r="AA32" s="4"/>
      <c r="AL32" s="2"/>
      <c r="AN32" s="2"/>
    </row>
    <row r="33" spans="1:42" ht="15" customHeight="1" x14ac:dyDescent="0.2">
      <c r="A33" s="9" t="s">
        <v>25</v>
      </c>
      <c r="B33" s="11" t="s">
        <v>26</v>
      </c>
      <c r="C33" s="29">
        <v>1.9</v>
      </c>
      <c r="D33" s="29">
        <v>1.1000000000000001</v>
      </c>
      <c r="E33" s="7"/>
      <c r="F33" s="55" t="s">
        <v>21</v>
      </c>
      <c r="G33" s="56"/>
      <c r="H33" s="47"/>
      <c r="I33" s="50">
        <f>$B$13*0.000001*$C18/7*D30*D31</f>
        <v>1.9584000000000002E-6</v>
      </c>
      <c r="J33" s="51">
        <f>$B$10*PEFic</f>
        <v>2.8592640000000001E-4</v>
      </c>
      <c r="K33" s="16">
        <f t="shared" si="2"/>
        <v>8.5485552407788904E-5</v>
      </c>
      <c r="L33" s="50"/>
      <c r="M33" s="15">
        <f>inhalation_child</f>
        <v>2.8592640000000001E-4</v>
      </c>
      <c r="N33" s="52">
        <f t="shared" si="3"/>
        <v>6.5390871769773851E-5</v>
      </c>
      <c r="O33" s="4"/>
      <c r="P33" s="4"/>
      <c r="Q33" s="4"/>
      <c r="R33" s="4"/>
      <c r="S33" s="4"/>
      <c r="T33" s="4"/>
      <c r="U33" s="4"/>
      <c r="V33" s="4"/>
      <c r="W33" s="4"/>
      <c r="X33" s="4"/>
      <c r="Y33" s="4"/>
      <c r="Z33" s="4"/>
      <c r="AA33" s="4"/>
      <c r="AL33" s="2"/>
      <c r="AN33" s="2"/>
    </row>
    <row r="34" spans="1:42" ht="15" customHeight="1" x14ac:dyDescent="0.2">
      <c r="A34" s="19" t="s">
        <v>41</v>
      </c>
      <c r="B34" s="11" t="s">
        <v>27</v>
      </c>
      <c r="C34" s="109">
        <v>3.07</v>
      </c>
      <c r="D34" s="110"/>
      <c r="E34" s="54"/>
      <c r="F34" s="55" t="s">
        <v>74</v>
      </c>
      <c r="G34" s="56"/>
      <c r="H34" s="47"/>
      <c r="I34" s="50"/>
      <c r="J34" s="51">
        <f>$D30*$D31*$B$9*C$18/7</f>
        <v>3.65568E-2</v>
      </c>
      <c r="K34" s="16">
        <f t="shared" si="2"/>
        <v>1.092965966857575E-2</v>
      </c>
      <c r="L34" s="50"/>
      <c r="M34" s="15">
        <f>inhalation_child_bkgrnd</f>
        <v>3.65568E-2</v>
      </c>
      <c r="N34" s="52">
        <f t="shared" si="3"/>
        <v>8.3604767559528198E-3</v>
      </c>
      <c r="O34" s="4"/>
      <c r="P34" s="4"/>
      <c r="Q34" s="4"/>
      <c r="R34" s="4"/>
      <c r="S34" s="4"/>
      <c r="T34" s="4"/>
      <c r="U34" s="4"/>
      <c r="V34" s="4"/>
      <c r="W34" s="4"/>
      <c r="X34" s="4"/>
      <c r="Y34" s="4"/>
      <c r="Z34" s="4"/>
      <c r="AA34" s="4"/>
      <c r="AL34" s="2"/>
      <c r="AN34" s="2"/>
    </row>
    <row r="35" spans="1:42" ht="15" customHeight="1" x14ac:dyDescent="0.2">
      <c r="A35" s="66" t="s">
        <v>76</v>
      </c>
      <c r="B35" s="11" t="s">
        <v>27</v>
      </c>
      <c r="C35" s="109">
        <f>0.45*$B$10</f>
        <v>65.7</v>
      </c>
      <c r="D35" s="110"/>
      <c r="E35" s="54"/>
      <c r="F35" s="55" t="s">
        <v>64</v>
      </c>
      <c r="G35" s="56"/>
      <c r="H35" s="47"/>
      <c r="I35" s="50"/>
      <c r="J35" s="51">
        <f>$B11*$D32*$D28</f>
        <v>0.96</v>
      </c>
      <c r="K35" s="16">
        <f t="shared" si="2"/>
        <v>0.28701837364957328</v>
      </c>
      <c r="L35" s="50"/>
      <c r="M35" s="15">
        <f>water_ingestion_child</f>
        <v>0.96</v>
      </c>
      <c r="N35" s="52">
        <f t="shared" si="3"/>
        <v>0.21955033497775261</v>
      </c>
      <c r="O35" s="4"/>
      <c r="P35" s="4"/>
      <c r="Q35" s="4"/>
      <c r="R35" s="4"/>
      <c r="S35" s="4"/>
      <c r="T35" s="4"/>
      <c r="U35" s="4"/>
      <c r="V35" s="4"/>
      <c r="W35" s="4"/>
      <c r="X35" s="4"/>
      <c r="Y35" s="4"/>
      <c r="Z35" s="4"/>
      <c r="AA35" s="4"/>
      <c r="AL35" s="2"/>
      <c r="AN35" s="2"/>
    </row>
    <row r="36" spans="1:42" ht="15" customHeight="1" x14ac:dyDescent="0.2">
      <c r="A36" s="32"/>
      <c r="B36" s="33"/>
      <c r="C36" s="67"/>
      <c r="D36" s="67"/>
      <c r="E36" s="67"/>
      <c r="F36" s="55" t="s">
        <v>75</v>
      </c>
      <c r="G36" s="56"/>
      <c r="H36" s="47"/>
      <c r="I36" s="50"/>
      <c r="J36" s="51">
        <f>$D$33*$D$28*(1-B$12)*$C$34</f>
        <v>0.50249759999999999</v>
      </c>
      <c r="K36" s="16">
        <f t="shared" si="2"/>
        <v>0.1502354624112644</v>
      </c>
      <c r="L36" s="50"/>
      <c r="M36" s="15">
        <f>J36</f>
        <v>0.50249759999999999</v>
      </c>
      <c r="N36" s="52">
        <f t="shared" si="3"/>
        <v>0.11492032958907995</v>
      </c>
      <c r="O36" s="4"/>
      <c r="P36" s="4"/>
      <c r="Q36" s="4"/>
      <c r="R36" s="4"/>
      <c r="S36" s="4"/>
      <c r="T36" s="4"/>
      <c r="U36" s="4"/>
      <c r="V36" s="4"/>
      <c r="W36" s="4"/>
      <c r="X36" s="4"/>
      <c r="Y36" s="4"/>
      <c r="Z36" s="4"/>
      <c r="AA36" s="4"/>
      <c r="AL36" s="2"/>
      <c r="AN36" s="2"/>
    </row>
    <row r="37" spans="1:42" ht="15" customHeight="1" x14ac:dyDescent="0.2">
      <c r="A37" s="87" t="s">
        <v>77</v>
      </c>
      <c r="B37" s="70"/>
      <c r="C37" s="70"/>
      <c r="D37" s="70"/>
      <c r="E37" s="70"/>
      <c r="F37" s="55" t="s">
        <v>65</v>
      </c>
      <c r="G37" s="56"/>
      <c r="H37" s="47"/>
      <c r="I37" s="50">
        <f>$D$33*$D$28*$B12*0.45</f>
        <v>5.5440000000000012E-3</v>
      </c>
      <c r="J37" s="51">
        <f>$B$10*PEFfic</f>
        <v>0.80942400000000014</v>
      </c>
      <c r="K37" s="16">
        <f t="shared" si="2"/>
        <v>0.24199954174263774</v>
      </c>
      <c r="L37" s="50"/>
      <c r="M37" s="15">
        <f>food_ingestion_child</f>
        <v>0.80942400000000014</v>
      </c>
      <c r="N37" s="52">
        <f t="shared" si="3"/>
        <v>0.18511386493649218</v>
      </c>
      <c r="O37" s="4"/>
      <c r="P37" s="4"/>
      <c r="Q37" s="4"/>
      <c r="R37" s="4"/>
      <c r="S37" s="4"/>
      <c r="T37" s="8"/>
      <c r="U37" s="8"/>
      <c r="V37" s="8"/>
      <c r="W37" s="8"/>
      <c r="X37" s="8"/>
      <c r="Y37" s="4"/>
      <c r="Z37" s="4"/>
      <c r="AA37" s="4"/>
      <c r="AL37" s="2"/>
      <c r="AM37" s="1"/>
      <c r="AN37" s="2"/>
    </row>
    <row r="38" spans="1:42" ht="12.75" x14ac:dyDescent="0.2">
      <c r="A38" s="70"/>
      <c r="B38" s="70"/>
      <c r="C38" s="70"/>
      <c r="D38" s="70"/>
      <c r="E38" s="70"/>
      <c r="F38" s="70"/>
      <c r="G38" s="70"/>
      <c r="H38" s="70"/>
      <c r="I38" s="21"/>
      <c r="J38" s="75"/>
      <c r="K38" s="75"/>
      <c r="L38" s="75"/>
      <c r="M38" s="67"/>
      <c r="N38" s="67"/>
      <c r="O38" s="4"/>
      <c r="P38" s="4"/>
      <c r="Q38" s="4"/>
      <c r="R38" s="4"/>
      <c r="S38" s="4"/>
      <c r="T38" s="4"/>
      <c r="U38" s="4"/>
      <c r="V38" s="4"/>
      <c r="W38" s="4"/>
      <c r="X38" s="4"/>
      <c r="Y38" s="4"/>
      <c r="Z38" s="4"/>
      <c r="AA38" s="4"/>
      <c r="AB38" s="4"/>
      <c r="AC38" s="4"/>
      <c r="AN38" s="2"/>
      <c r="AO38" s="1"/>
      <c r="AP38" s="2"/>
    </row>
  </sheetData>
  <mergeCells count="24">
    <mergeCell ref="F28:H28"/>
    <mergeCell ref="F17:H17"/>
    <mergeCell ref="C18:D18"/>
    <mergeCell ref="F19:H19"/>
    <mergeCell ref="A1:N1"/>
    <mergeCell ref="A2:N2"/>
    <mergeCell ref="I29:K29"/>
    <mergeCell ref="L29:N29"/>
    <mergeCell ref="C20:D20"/>
    <mergeCell ref="C21:D21"/>
    <mergeCell ref="I28:K28"/>
    <mergeCell ref="L28:N28"/>
    <mergeCell ref="I17:K17"/>
    <mergeCell ref="L18:N18"/>
    <mergeCell ref="G8:L8"/>
    <mergeCell ref="C34:D34"/>
    <mergeCell ref="C35:D35"/>
    <mergeCell ref="C25:D25"/>
    <mergeCell ref="C29:D29"/>
    <mergeCell ref="F30:H30"/>
    <mergeCell ref="L17:N17"/>
    <mergeCell ref="F15:N15"/>
    <mergeCell ref="A15:D15"/>
    <mergeCell ref="I18:K18"/>
  </mergeCells>
  <phoneticPr fontId="0" type="noConversion"/>
  <printOptions gridLinesSet="0"/>
  <pageMargins left="0" right="0" top="0.6" bottom="0" header="0.84" footer="0.5"/>
  <pageSetup orientation="portrait" horizontalDpi="300" verticalDpi="300" r:id="rId1"/>
  <headerFooter alignWithMargins="0"/>
  <colBreaks count="1" manualBreakCount="1">
    <brk id="3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68</vt:i4>
      </vt:variant>
    </vt:vector>
  </HeadingPairs>
  <TitlesOfParts>
    <vt:vector size="69" baseType="lpstr">
      <vt:lpstr>pb7</vt:lpstr>
      <vt:lpstr>bb</vt:lpstr>
      <vt:lpstr>bbb</vt:lpstr>
      <vt:lpstr>pb7!Bioavailability</vt:lpstr>
      <vt:lpstr>Blood.lead.level.of.concern</vt:lpstr>
      <vt:lpstr>pb7!Blood_lead_level_of_concern</vt:lpstr>
      <vt:lpstr>pb7!Breathing_rate</vt:lpstr>
      <vt:lpstr>pb7!Days_per_week</vt:lpstr>
      <vt:lpstr>pb7!Dermal_uptake_constant</vt:lpstr>
      <vt:lpstr>food_ing_adu</vt:lpstr>
      <vt:lpstr>food_ing_adu_bkgrnd</vt:lpstr>
      <vt:lpstr>food_ing_child_bkgrnd</vt:lpstr>
      <vt:lpstr>pb7!Food_ingestion</vt:lpstr>
      <vt:lpstr>food_ingestion.adu</vt:lpstr>
      <vt:lpstr>Food_ingestion_a</vt:lpstr>
      <vt:lpstr>food_ingestion_child</vt:lpstr>
      <vt:lpstr>food_ingestion_child_bkgrnd</vt:lpstr>
      <vt:lpstr>food_ingestion_ocup</vt:lpstr>
      <vt:lpstr>FOOD_INGESTION1</vt:lpstr>
      <vt:lpstr>pb7!Geometric_Standard_Deviation</vt:lpstr>
      <vt:lpstr>pb7!GSD1</vt:lpstr>
      <vt:lpstr>pb7!GSD2</vt:lpstr>
      <vt:lpstr>pb7!GSD4</vt:lpstr>
      <vt:lpstr>pb7!Ingestion_constant</vt:lpstr>
      <vt:lpstr>inhal_adult</vt:lpstr>
      <vt:lpstr>inhal_bkgrnd_adlt</vt:lpstr>
      <vt:lpstr>INHALATION</vt:lpstr>
      <vt:lpstr>inhalation_bkgrnd_adlt</vt:lpstr>
      <vt:lpstr>inhalation_child</vt:lpstr>
      <vt:lpstr>inhalation_child_bkgrnd</vt:lpstr>
      <vt:lpstr>pb7!Inhalation_constant</vt:lpstr>
      <vt:lpstr>INHALATION1</vt:lpstr>
      <vt:lpstr>pb7!LEAD_IN_AIR</vt:lpstr>
      <vt:lpstr>pb7!Lead_in_market_basket</vt:lpstr>
      <vt:lpstr>pb7!Lead_in_produce</vt:lpstr>
      <vt:lpstr>pb7!LEAD_IN_SOIL_DUST</vt:lpstr>
      <vt:lpstr>pb7!LEAD_IN_WATER</vt:lpstr>
      <vt:lpstr>PEFfia</vt:lpstr>
      <vt:lpstr>PEFfic</vt:lpstr>
      <vt:lpstr>PEFia</vt:lpstr>
      <vt:lpstr>PEFic</vt:lpstr>
      <vt:lpstr>PEFio</vt:lpstr>
      <vt:lpstr>PEFsca</vt:lpstr>
      <vt:lpstr>PEFscc</vt:lpstr>
      <vt:lpstr>PEFsco</vt:lpstr>
      <vt:lpstr>PEFsia</vt:lpstr>
      <vt:lpstr>PEFsic</vt:lpstr>
      <vt:lpstr>PEFsio</vt:lpstr>
      <vt:lpstr>PEFsip</vt:lpstr>
      <vt:lpstr>pb7!percent_home_grown</vt:lpstr>
      <vt:lpstr>pb7!Print_Area</vt:lpstr>
      <vt:lpstr>pb7!Print_Area_MI</vt:lpstr>
      <vt:lpstr>pb7!RESPIRABLE_DUST</vt:lpstr>
      <vt:lpstr>pb7!Skin_area__residential</vt:lpstr>
      <vt:lpstr>pb7!Skin_area_child</vt:lpstr>
      <vt:lpstr>pb7!Skin_area_ocupational</vt:lpstr>
      <vt:lpstr>pb7!Soil_adherence</vt:lpstr>
      <vt:lpstr>SOIL_CONTACT</vt:lpstr>
      <vt:lpstr>soil_contact_child</vt:lpstr>
      <vt:lpstr>soil_ing_adu</vt:lpstr>
      <vt:lpstr>pb7!Soil_ingestion</vt:lpstr>
      <vt:lpstr>Soil_ingestion_a</vt:lpstr>
      <vt:lpstr>soil_ingestion_child</vt:lpstr>
      <vt:lpstr>pb7!soil_ingestion_pica</vt:lpstr>
      <vt:lpstr>water_ing_adu</vt:lpstr>
      <vt:lpstr>pb7!Water_ingestion</vt:lpstr>
      <vt:lpstr>Water_ingestion_a</vt:lpstr>
      <vt:lpstr>water_ingestion_child</vt:lpstr>
      <vt:lpstr>workdays_per_week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Jimmy</cp:lastModifiedBy>
  <cp:lastPrinted>2000-11-07T19:38:37Z</cp:lastPrinted>
  <dcterms:created xsi:type="dcterms:W3CDTF">1999-07-08T22:54:48Z</dcterms:created>
  <dcterms:modified xsi:type="dcterms:W3CDTF">2018-02-01T18:41:17Z</dcterms:modified>
</cp:coreProperties>
</file>